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172.28.1.8\Acceso a la Informacion\PORTAL TRANSPARENCIA\Ultimo Trimestre 2025\"/>
    </mc:Choice>
  </mc:AlternateContent>
  <xr:revisionPtr revIDLastSave="0" documentId="8_{AE5251AE-6F56-4491-98AF-15E630EB6AB4}" xr6:coauthVersionLast="47" xr6:coauthVersionMax="47" xr10:uidLastSave="{00000000-0000-0000-0000-000000000000}"/>
  <bookViews>
    <workbookView xWindow="-120" yWindow="-120" windowWidth="29040" windowHeight="15720" activeTab="1" xr2:uid="{A642C8E4-EA04-49A2-830C-DBA5A3E9587D}"/>
  </bookViews>
  <sheets>
    <sheet name="Informe 3er. trimestre" sheetId="3" r:id="rId1"/>
    <sheet name="Informe 4to. trimestre (2)" sheetId="2" r:id="rId2"/>
    <sheet name="Informe 2do semestre" sheetId="1" r:id="rId3"/>
    <sheet name="Hoja3" sheetId="4" r:id="rId4"/>
  </sheets>
  <definedNames>
    <definedName name="_xlnm.Print_Area" localSheetId="2">'Informe 2do semestre'!$A$1:$J$93</definedName>
    <definedName name="_xlnm.Print_Area" localSheetId="0">'Informe 3er. trimestre'!$A$1:$J$93</definedName>
    <definedName name="_xlnm.Print_Area" localSheetId="1">'Informe 4to. trimestre (2)'!$A$1:$J$93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9" i="1" l="1"/>
  <c r="H19" i="1"/>
  <c r="J19" i="1" s="1"/>
  <c r="H19" i="1" a="1"/>
  <c r="G19" i="1" a="1"/>
  <c r="G19" i="1" s="1"/>
  <c r="F19" i="1" a="1"/>
  <c r="F19" i="1" s="1"/>
  <c r="F15" i="1"/>
  <c r="I15" i="1" s="1"/>
  <c r="E31" i="4"/>
  <c r="G66" i="4" a="1"/>
  <c r="G66" i="4" s="1"/>
  <c r="F66" i="4" a="1"/>
  <c r="F66" i="4"/>
  <c r="J66" i="4" s="1"/>
  <c r="J91" i="4"/>
  <c r="I91" i="4"/>
  <c r="I87" i="4"/>
  <c r="J78" i="4"/>
  <c r="I78" i="4"/>
  <c r="I74" i="4"/>
  <c r="C66" i="4" a="1"/>
  <c r="C66" i="4" s="1"/>
  <c r="D52" i="4" a="1"/>
  <c r="D52" i="4" s="1"/>
  <c r="I81" i="1"/>
  <c r="E81" i="1" a="1"/>
  <c r="E81" i="1"/>
  <c r="G81" i="1" a="1"/>
  <c r="G81" i="1"/>
  <c r="H81" i="1" a="1"/>
  <c r="H81" i="1"/>
  <c r="C81" i="1" a="1"/>
  <c r="C81" i="1" s="1"/>
  <c r="F48" i="1"/>
  <c r="I33" i="1"/>
  <c r="J33" i="1"/>
  <c r="F31" i="4" a="1"/>
  <c r="F31" i="4" s="1"/>
  <c r="G31" i="4" a="1"/>
  <c r="G31" i="4" s="1"/>
  <c r="H31" i="4" a="1"/>
  <c r="H31" i="4" s="1"/>
  <c r="F27" i="4"/>
  <c r="I27" i="4" s="1"/>
  <c r="F62" i="4"/>
  <c r="I62" i="4" s="1"/>
  <c r="F100" i="4"/>
  <c r="I100" i="4" s="1"/>
  <c r="C141" i="4" a="1"/>
  <c r="C141" i="4" s="1"/>
  <c r="F137" i="4"/>
  <c r="I137" i="4" s="1"/>
  <c r="F176" i="4"/>
  <c r="I176" i="4" s="1"/>
  <c r="G180" i="4" a="1"/>
  <c r="G180" i="4" s="1"/>
  <c r="H180" i="4" a="1"/>
  <c r="H180" i="4" s="1"/>
  <c r="F180" i="4" a="1"/>
  <c r="F180" i="4" s="1"/>
  <c r="F81" i="1" s="1" a="1"/>
  <c r="F81" i="1" s="1"/>
  <c r="P6" i="4"/>
  <c r="P7" i="4"/>
  <c r="P8" i="4"/>
  <c r="P9" i="4"/>
  <c r="P10" i="4"/>
  <c r="P5" i="4"/>
  <c r="D104" i="4"/>
  <c r="J205" i="4"/>
  <c r="D205" i="4"/>
  <c r="D180" i="4" s="1" a="1"/>
  <c r="D180" i="4" s="1"/>
  <c r="D81" i="1" s="1" a="1"/>
  <c r="D81" i="1" s="1"/>
  <c r="I201" i="4"/>
  <c r="J192" i="4"/>
  <c r="D192" i="4"/>
  <c r="I188" i="4"/>
  <c r="H67" i="1" a="1"/>
  <c r="H67" i="1" s="1"/>
  <c r="G67" i="1" a="1"/>
  <c r="G67" i="1" s="1"/>
  <c r="F67" i="1" a="1"/>
  <c r="F67" i="1" s="1"/>
  <c r="E67" i="1" a="1"/>
  <c r="E67" i="1" s="1"/>
  <c r="C67" i="1" a="1"/>
  <c r="C67" i="1" s="1"/>
  <c r="F63" i="1"/>
  <c r="I63" i="1" s="1"/>
  <c r="E141" i="4" a="1"/>
  <c r="E141" i="4" s="1"/>
  <c r="F141" i="4" a="1"/>
  <c r="F141" i="4" s="1"/>
  <c r="G141" i="4" a="1"/>
  <c r="G141" i="4" s="1"/>
  <c r="H141" i="4" a="1"/>
  <c r="H141" i="4" s="1"/>
  <c r="D167" i="4"/>
  <c r="D141" i="4" s="1" a="1"/>
  <c r="D141" i="4" s="1"/>
  <c r="J167" i="4"/>
  <c r="I163" i="4"/>
  <c r="I167" i="4"/>
  <c r="J154" i="4"/>
  <c r="I154" i="4"/>
  <c r="D154" i="4"/>
  <c r="I150" i="4"/>
  <c r="H104" i="4" a="1"/>
  <c r="H104" i="4" s="1"/>
  <c r="E104" i="4" a="1"/>
  <c r="E104" i="4" s="1"/>
  <c r="F104" i="4" a="1"/>
  <c r="F104" i="4" s="1"/>
  <c r="G104" i="4" a="1"/>
  <c r="G104" i="4" s="1"/>
  <c r="J128" i="4"/>
  <c r="I128" i="4"/>
  <c r="D128" i="4"/>
  <c r="I124" i="4"/>
  <c r="J116" i="4"/>
  <c r="I116" i="4"/>
  <c r="D116" i="4"/>
  <c r="I112" i="4"/>
  <c r="J52" i="4"/>
  <c r="I52" i="4"/>
  <c r="I48" i="4"/>
  <c r="J42" i="4"/>
  <c r="I42" i="4"/>
  <c r="I38" i="4"/>
  <c r="H17" i="4"/>
  <c r="H18" i="4"/>
  <c r="H19" i="4"/>
  <c r="H20" i="4"/>
  <c r="H21" i="4"/>
  <c r="H16" i="4"/>
  <c r="J81" i="3"/>
  <c r="D81" i="3"/>
  <c r="I77" i="3"/>
  <c r="J67" i="3"/>
  <c r="I67" i="3"/>
  <c r="D67" i="3"/>
  <c r="I63" i="3"/>
  <c r="J52" i="3"/>
  <c r="I52" i="3"/>
  <c r="D52" i="3"/>
  <c r="I48" i="3"/>
  <c r="J33" i="3"/>
  <c r="I33" i="3"/>
  <c r="I29" i="3"/>
  <c r="J19" i="3"/>
  <c r="I19" i="3"/>
  <c r="I15" i="3"/>
  <c r="J81" i="2"/>
  <c r="D81" i="2"/>
  <c r="I77" i="2"/>
  <c r="J67" i="2"/>
  <c r="I67" i="2"/>
  <c r="D67" i="2"/>
  <c r="I63" i="2"/>
  <c r="J52" i="2"/>
  <c r="I52" i="2"/>
  <c r="D52" i="2"/>
  <c r="I48" i="2"/>
  <c r="K36" i="2"/>
  <c r="J33" i="2"/>
  <c r="I33" i="2"/>
  <c r="I29" i="2"/>
  <c r="J19" i="2"/>
  <c r="I19" i="2"/>
  <c r="I15" i="2"/>
  <c r="F29" i="1" l="1"/>
  <c r="I29" i="1" s="1"/>
  <c r="I104" i="4"/>
  <c r="J180" i="4"/>
  <c r="J31" i="4"/>
  <c r="J141" i="4"/>
  <c r="I67" i="1"/>
  <c r="I66" i="4"/>
  <c r="I141" i="4"/>
  <c r="I31" i="4"/>
  <c r="D67" i="1" a="1"/>
  <c r="D67" i="1" s="1"/>
  <c r="J67" i="1"/>
  <c r="J104" i="4"/>
  <c r="J81" i="1"/>
  <c r="I77" i="1"/>
  <c r="J52" i="1"/>
  <c r="I52" i="1"/>
  <c r="D52" i="1"/>
  <c r="I4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<sst xmlns="http://schemas.openxmlformats.org/spreadsheetml/2006/main" count="1023" uniqueCount="147">
  <si>
    <t>INFORMACIÓN GENERAL INSTITUCIONAL</t>
  </si>
  <si>
    <t>Capítulo</t>
  </si>
  <si>
    <t>5182-Instituto Nacional de Tránsito y Transporte Terrestre</t>
  </si>
  <si>
    <t>Subcapítulo</t>
  </si>
  <si>
    <t>Instituto Nacional de Tránsito y Transporte Terrestre</t>
  </si>
  <si>
    <t>Unidad Ejecutora</t>
  </si>
  <si>
    <t>Misión</t>
  </si>
  <si>
    <t>Gestionar la rectoría nacional de la movilidad, el transporte terrestre, el tránsito y la seguridad vial, con un enfoque integral para la transformación de los diferentes sectores, requeridos para el desarrollo socioeconómico de la República Dominicana</t>
  </si>
  <si>
    <t>Visión</t>
  </si>
  <si>
    <t>Ser un referente internacional en la gestión de un modelo de movilidad terrestre sostenible, eficiente, accesible y seguro contribuyendo a mejorar la calidad de vida de los ciudadanos</t>
  </si>
  <si>
    <t>DESGLOSE DE LOS PROGRAMAS SEGÚN PRODUCTOS</t>
  </si>
  <si>
    <t>Programa 11: Transporte y Tránsito Terrestre</t>
  </si>
  <si>
    <t>Descripción:</t>
  </si>
  <si>
    <t>Dentro de las actividades que se ejecutan en este programa se pueden destacar las siguientes: regularización el tránsito y el transporte terrestre; la gestión de las licencias de operaciones de transporte de carga y la gestión de las licencias de operaciones  de transportes de pasajeros</t>
  </si>
  <si>
    <r>
      <t>Beneficiarios:</t>
    </r>
    <r>
      <rPr>
        <sz val="12"/>
        <color rgb="FF000000"/>
        <rFont val="Century Gothic"/>
        <family val="2"/>
      </rPr>
      <t xml:space="preserve"> </t>
    </r>
  </si>
  <si>
    <t>Ciudadanos, Empresas y Operadores de Transporte</t>
  </si>
  <si>
    <t>Producto 7990- Usuarios del sistema nacional de transporte reciben autorizaciones, certificaciones y permisos</t>
  </si>
  <si>
    <t>Desempeño financiero</t>
  </si>
  <si>
    <t>Presupuesto Inicial</t>
  </si>
  <si>
    <t>Presupuesto Vigente</t>
  </si>
  <si>
    <t>Presupuesto Ejecutado</t>
  </si>
  <si>
    <t>Porcentaje de Ejecución (ejecutado/vigente)</t>
  </si>
  <si>
    <t>Formulación y Ejecución Trimestral</t>
  </si>
  <si>
    <t>Presupuesto Anual</t>
  </si>
  <si>
    <t>Programación Trimestral</t>
  </si>
  <si>
    <t>Ejecución Trimestral</t>
  </si>
  <si>
    <t>Avance</t>
  </si>
  <si>
    <t>Producto</t>
  </si>
  <si>
    <t>Indicador asociado</t>
  </si>
  <si>
    <t>Física (A)</t>
  </si>
  <si>
    <t>Financiera (B)</t>
  </si>
  <si>
    <t>Física (C)</t>
  </si>
  <si>
    <t>Financiera (D)</t>
  </si>
  <si>
    <t>Física (E)</t>
  </si>
  <si>
    <t>Financiera  (F)</t>
  </si>
  <si>
    <t>Física (%)
 G=E/C</t>
  </si>
  <si>
    <t>Financiero (%) 
H=F/D</t>
  </si>
  <si>
    <t>7990-Usuarios del sistema nacional de transporte reciben autorizaciones, certificaciones y permisos</t>
  </si>
  <si>
    <t>Autorizaciones, certificaciones y permisos otorgados</t>
  </si>
  <si>
    <t>Análisis de Resultados y Desviaciones</t>
  </si>
  <si>
    <t>Resultados alcanzados:</t>
  </si>
  <si>
    <t>Desvío Físico</t>
  </si>
  <si>
    <t>Desvío Financiero</t>
  </si>
  <si>
    <t>De su lado, el desvío financiero del 100.0% presentado estuvo relacionado a que la ejecución presupuestaria prevista no se completó dentro del periodo programado, debido a que el proceso  de compras relacionado con la adquisición de útiles para operativos y equipos de protección y seguridad del personal operativo (INTRANT-CCC-CP-2025-0014) fue publicado el 30 de septiembre de 2025 y  se encontraba en etapa de contratación al cierre del trimestre, trasladándose la ejecución al cuarto trimestre, una vez concluida la adjudicación y recepción de los bienes. Cabe señalar que la publicación del proceso experimentó un ajuste en su cronograma debido a la necesidad de ampliar el tiempo destinado a la validación y revisión técnica de las especificaciones contenidas en la ficha técnica, a fin de garantizar la precisión de los requerimientos y la conformidad con los estándares institucionales y normativos aplicables.</t>
  </si>
  <si>
    <t>Producto 6916: Prestadores de servicio reciben licencia de operación de transporte de  pasajeros</t>
  </si>
  <si>
    <t xml:space="preserve">Descripción del producto: </t>
  </si>
  <si>
    <t>Son las autorizaciones otorgadas a los prestadores de servicios de transporte de pasajeros para sus operaciones.</t>
  </si>
  <si>
    <t>Formulación y Ejecución Física-Financiera</t>
  </si>
  <si>
    <t>Financiera (F)</t>
  </si>
  <si>
    <t>6916-Prestadores de servicio reciben licencia de operación de transporte de  pasajeros</t>
  </si>
  <si>
    <t>Licencias de operación entregadas a operadores de transporte de pasajeros</t>
  </si>
  <si>
    <t>Logros alcanzados:</t>
  </si>
  <si>
    <t>Desvío Físico:</t>
  </si>
  <si>
    <t>Programa 12: Seguridad Vial Integral y Movilidad Sostenible</t>
  </si>
  <si>
    <t>Mediante el Programa Seguridad Vial Integral y Movilidad Sostenible se gestionan las actividades relacionadas con la seguridad vial que el INTRANT realiza por mandato de la LEY 63-17  dentro de las cuales se encuentran las siguiente: Capacitación a ciudadanos relacionadas con las normar y reglamentos en miras a modificar la conducta de los ciudadanos ante estas,  emisión de permisos de conducir y la realización inspección técnica vehicular; También el diseño, monitoreo y evaluación de  Planes, Programas y Proyectos relacionados con la movilidad y la sostenibilidad.</t>
  </si>
  <si>
    <t>Ciudadanos, Operadores del Sector Transporte, Sector Público y Sector Privado.</t>
  </si>
  <si>
    <t>Resultado Asociado:</t>
  </si>
  <si>
    <t>Reducción de las muertes y morbilidad asociadas a los siniestros viales</t>
  </si>
  <si>
    <t>Producto 5879: Ciudadanos reciben licencia de conducir</t>
  </si>
  <si>
    <t>Es la entrega del documento que autoriza a ciudadanos dominicanos y a  extranjeros  a conducir en la República Dominicana</t>
  </si>
  <si>
    <t>5879-Ciudadanos reciben licencia de conducir</t>
  </si>
  <si>
    <t>Licencias de conducir emitidas</t>
  </si>
  <si>
    <t>Durante el trimestre fueron emitidas 122,388 licencias de conducir, superando la meta programada de 106,932, lo que representó un avance físico de 114.45% que responde al incremento sostenido de la demanda de servicios y a la implementación de nuevos módulos en la plataforma digital.</t>
  </si>
  <si>
    <t>Producto 7927:  Población recibe cursos y talleres de educación y formación vial</t>
  </si>
  <si>
    <t>Procesos formativos en materia de educación vial</t>
  </si>
  <si>
    <t>7927-Población recibe cursos y talleres de educación y formación vial</t>
  </si>
  <si>
    <t>Personas capacitadas en educación y formación vial</t>
  </si>
  <si>
    <t>Producto 6927: Usuarios del sistema de transporte público de pasajeros cuentan con corredores integrados al servicio de la ciudadanía</t>
  </si>
  <si>
    <t>Son rutas o redes de transporte público que están diseñadas para proporcionar una mayor eficiencia, accesibilidad y comodidad a los usuarios al integrar diferentes modos de transporte en una misma ruta o red. Estos corredores suelen combinar autobuses, trenes, teleféricos u otros medios de transporte en una infraestructura coordinada y conectada</t>
  </si>
  <si>
    <t xml:space="preserve">Formulación y Ejecución Trimestral </t>
  </si>
  <si>
    <t>6927-Usuarios del sistema de transporte público de pasajeros cuentan con corredores integrados al servicio de la ciudadanía</t>
  </si>
  <si>
    <t>Corredores integrados al sistema de transporte público por año</t>
  </si>
  <si>
    <t>n/a</t>
  </si>
  <si>
    <t>Durante este trimestre se avanzó en la integración de un nuevo corredor al sistema de transporte público, para lo cual se diseñó la operación y el plan de servicio correspondiente a un (1) corredor en la provincia de Santiago de los Caballeros, orientado al reforzamiento de las rutas de la OMSA mediante la incorporación de nuevas unidades y la identificación de las paradas formales. Este resultado representó un paso relevante en la consolidación del modelo de corredores integrados, al fortalecer la cobertura del transporte público urbano y mejorar las condiciones de accesibilidad, eficiencia y planificación del servicio en una de las provincias con mayor flujo de pasajeros.</t>
  </si>
  <si>
    <t>Desvío Financiero:</t>
  </si>
  <si>
    <t>No se registró desvío financiero durante el trimestre, ya que la meta establecida se cumplió conforme a la programación operativa programada.</t>
  </si>
  <si>
    <t>Elaborado por:</t>
  </si>
  <si>
    <t>Autorizado por:</t>
  </si>
  <si>
    <t>José Luis Almonte Dorotea</t>
  </si>
  <si>
    <t>Encargada del Dpto. de Formulación, Monitoreo y Evaluación de PPP</t>
  </si>
  <si>
    <t>Director de Planificación y Desarrollo</t>
  </si>
  <si>
    <r>
      <rPr>
        <b/>
        <sz val="24"/>
        <color theme="1"/>
        <rFont val="Calibri"/>
        <family val="2"/>
        <scheme val="minor"/>
      </rPr>
      <t>INSTITUTO NACIONAL DE TRÁNSITO Y TRANSPORTE -INTRANT-</t>
    </r>
    <r>
      <rPr>
        <b/>
        <sz val="18"/>
        <color theme="1"/>
        <rFont val="Calibri"/>
        <family val="2"/>
        <scheme val="minor"/>
      </rPr>
      <t xml:space="preserve">
DIRECCION DE PLANIFICACIÓN Y DESARROLLO
</t>
    </r>
    <r>
      <rPr>
        <b/>
        <sz val="17"/>
        <color theme="1"/>
        <rFont val="Calibri"/>
        <family val="2"/>
        <scheme val="minor"/>
      </rPr>
      <t>Departamento de Formulación, Monitoreo y Evaluación de Planes, Programas y Proyectos</t>
    </r>
    <r>
      <rPr>
        <b/>
        <sz val="18"/>
        <rFont val="Calibri"/>
        <family val="2"/>
        <scheme val="minor"/>
      </rPr>
      <t xml:space="preserve">
</t>
    </r>
    <r>
      <rPr>
        <b/>
        <sz val="18"/>
        <color theme="5" tint="-0.499984740745262"/>
        <rFont val="Calibri"/>
        <family val="2"/>
        <scheme val="minor"/>
      </rPr>
      <t xml:space="preserve">Informe de Evaluación Trimestral de las Metas Físicas y Financieras 
</t>
    </r>
    <r>
      <rPr>
        <b/>
        <sz val="18"/>
        <color rgb="FF002060"/>
        <rFont val="Calibri"/>
        <family val="2"/>
        <scheme val="minor"/>
      </rPr>
      <t>TRIMESTRE:</t>
    </r>
    <r>
      <rPr>
        <b/>
        <sz val="18"/>
        <color theme="1"/>
        <rFont val="Calibri"/>
        <family val="2"/>
        <scheme val="minor"/>
      </rPr>
      <t xml:space="preserve"> Octubre -Diciembre 2025</t>
    </r>
  </si>
  <si>
    <t>El desvío físico positivo del 160%  superó ampliamente la meta prevista para el trimestre debido a un aumento en la demanda de licencias por parte de operadores que habían iniciado sus trámites en períodos anteriores y que retomaron y completaron su proceso de regularización en este trimestre, así como a la intensificación de las jornadas de depuración y evaluación técnica por parte del equipo institucional. Esta dinámica permitió acelerar la emisión de licencias, contribuyendo al cumplimiento anticipado de metas anuales en materia de formalización del servicio.</t>
  </si>
  <si>
    <t xml:space="preserve">El sobrecumplimiento de la meta física trimestral del 42.19% se explica por el incremento sostenido en la demanda de licencias de conducir a nivel nacional, sumado a mejoras operativas y logísticas para su expedición. Un factor clave en este comportamiento fue la apertura de una nueva oficina en la provincia de San Cristóbal, orientada a ofrecer servicios de renovación y duplicado de licencias de conducir, lo que permitió descongestionar otras oficinas regionales y facilitar el acceso a usuarios de esa demarcación. Asimismo, el restablecimiento del flujo habitual de usuarios que había sido impactado en trimestres anteriores, junto con campañas de información ciudadana y la estabilización de la plataforma digital, permitieron una mayor eficiencia en la tramitación de solicitudes, lo que explica el cumplimiento por encima del 100% frente a la meta programada. </t>
  </si>
  <si>
    <t>El comportamiento del indicador físico estuvo asociado a la restructuración  anticipada en trimestres anteriores de los corredores originalmente planificados para el cuarto  trimestre, los cuales se realizaron a solicitud de FITRAM y la OMSA, con el propósito de integrarlos al Sistema Integrado de Transporte (SIT) de la provincia de Santiago de los Caballeros. Esta modificación técnica implicó la revisión del diseño operativo y la adecuación de las rutas, paradas y servicios complementarios, a fin de asegurar la coherencia funcional del corredor dentro del esquema de transporte urbano previsto para dicha demarcación, trasladando su ejecución a trimestres previos del programado inicialmente.</t>
  </si>
  <si>
    <t>El desvío financiero presentado del 229.73% por encima de los programado se explicó por el desfase temporal entre la modificación presupuestaria interprogramas Nro. Solicitud 0022, solicitada el 11/07/2025, y el registro financiero de los compromisos asumidos mediante el proceso de compras No. INTRANT-DAF-CM-2025-0046, destinado a la adquisición de artículos para acciones formativas de la Escuela Nacional de Educación Vial (ENEVIAL), en cumplimiento de la actividad programada en el POA. Si bien el proceso contó con la publicación de la lista de oferentes el 06/10/2025 y la emisión del informe final de selección el 07/10/2025, quedando adjudicado y celebrado, los pagos no se reflejaron en el período octubre-diciembre debido a que estaban condicionados a la recepción conforme de los bienes y a la culminación de los trámites administrativos correspondientes, propios del cierre presupuestario del ejercicio.</t>
  </si>
  <si>
    <r>
      <t xml:space="preserve">Durante este trimestre se registró una variación significativa en la cantidad de permisos emitidos del 123.14% por encima de lo programado. Este comportamiento se debió a incidencias funcionales en la nueva plataforma tecnológica implementada para gestionar los permisos recurrentes de transporte de carga, comúnmente otorgados por períodos de tres meses. Como medida de contingencia, y a fin de no interrumpir el servicio, se procedió a emitir </t>
    </r>
    <r>
      <rPr>
        <u/>
        <sz val="12"/>
        <color theme="1"/>
        <rFont val="Calibri"/>
        <family val="2"/>
      </rPr>
      <t xml:space="preserve">permisos puntuales </t>
    </r>
    <r>
      <rPr>
        <sz val="12"/>
        <color theme="1"/>
        <rFont val="Calibri"/>
        <family val="2"/>
      </rPr>
      <t>con vigencia de tres días. Esta respuesta operativa generó un aumento sustancial en la cantidad de autorizaciones procesadas, distorsionando los valores planificados del indicador físico para el trimestre, representando el 97.12% del total registrado.</t>
    </r>
  </si>
  <si>
    <t>Durante el cuarto trimestre se otorgaron 88,227 documentaciones relacionadas con autorizaciones, certificaciones y permisos a usuarios del sistema nacional de transporte, superando ampliamente la meta programada de 13,334 lo que representó un avance físico de 661.67%. Del total registrado, se emitieron 1,785 autorizaciones, 86,137 permisos y 305 certificaciones. El mayor volumen de ejecución correspondió al área de Transporte de Carga, con 85,682 permisos emitidos, lo cual que representó el 97.12% del total alcanzado.</t>
  </si>
  <si>
    <t>Yakayra Rodríguez E.</t>
  </si>
  <si>
    <t>Durante este trimestre fueron emitidas 52 licencias de operación de transporte de pasajeros a las prestadoras del servicio que complementaron exitosamente los requisitos exigidos, logrando así un porcentaje de avance del 520% respecto a la meta programada. Esta puntuación alcanzada refleja un avance en el fortalecimiento del marco regulatorio y en la formalización del sector transporte, contribuyendo a una mayor eficiencia, seguridad y calidad en la prestación del servicio de transporte de pasajeros</t>
  </si>
  <si>
    <t>Durante el trimestre julio-septiembre 2025 recibieron formación y capacitación vial a  través de programas, cursos y talleres un total 39,416 personas en educación y formación vial, superando la meta programada de 29,713 participantes, lo que representó un avance físico de 132.66%. Este resultado refleja la ampliación de la cobertura de las acciones educativas, mediante la ejecución de jornadas presenciales y comunitarias orientadas a promover la cultura de seguridad vial y la prevención de siniestros de tránsito.
Las capacitaciones abarcaron diferentes segmentos poblacionales, incluyendo estudiantes, conductores profesionales y miembros de organizaciones, fortaleciendo el conocimiento sobre normas de tránsito, movilidad segura y responsabilidad ciudadana en la vía pública. El cumplimiento superior a la meta obedece a la alta demanda de instituciones educativas y comunidades interesadas en participar en los programas, así como a la eficiencia en la coordinación logística y metodológica por parte de los equipos técnicos.</t>
  </si>
  <si>
    <r>
      <rPr>
        <b/>
        <sz val="24"/>
        <color theme="1"/>
        <rFont val="Calibri"/>
        <family val="2"/>
        <scheme val="minor"/>
      </rPr>
      <t>INSTITUTO NACIONAL DE TRÁNSITO Y TRANSPORTE -INTRANT-</t>
    </r>
    <r>
      <rPr>
        <b/>
        <sz val="18"/>
        <color theme="1"/>
        <rFont val="Calibri"/>
        <family val="2"/>
        <scheme val="minor"/>
      </rPr>
      <t xml:space="preserve">
DIRECCION DE PLANIFICACIÓN Y DESARROLLO
</t>
    </r>
    <r>
      <rPr>
        <b/>
        <sz val="17"/>
        <color theme="1"/>
        <rFont val="Calibri"/>
        <family val="2"/>
        <scheme val="minor"/>
      </rPr>
      <t>Departamento de Formulación, Monitoreo y Evaluación de Planes, Programas y Proyectos</t>
    </r>
    <r>
      <rPr>
        <b/>
        <sz val="18"/>
        <rFont val="Calibri"/>
        <family val="2"/>
        <scheme val="minor"/>
      </rPr>
      <t xml:space="preserve">
</t>
    </r>
    <r>
      <rPr>
        <b/>
        <sz val="18"/>
        <color theme="5" tint="-0.499984740745262"/>
        <rFont val="Calibri"/>
        <family val="2"/>
        <scheme val="minor"/>
      </rPr>
      <t xml:space="preserve">Informe de Evaluación Trimestral de las Metas Físicas y Financieras 
</t>
    </r>
    <r>
      <rPr>
        <b/>
        <sz val="18"/>
        <color rgb="FF002060"/>
        <rFont val="Calibri"/>
        <family val="2"/>
        <scheme val="minor"/>
      </rPr>
      <t>TRIMESTRE:</t>
    </r>
    <r>
      <rPr>
        <b/>
        <sz val="18"/>
        <color theme="1"/>
        <rFont val="Calibri"/>
        <family val="2"/>
        <scheme val="minor"/>
      </rPr>
      <t xml:space="preserve"> Julio-Septiembre 2025</t>
    </r>
  </si>
  <si>
    <t>Durante el tercer trimestre se otorgaron 53,614 documentaciones relacionadas con autorizaciones, certificaciones y permisos a usuarios del sistema nacional de transporte, superando ampliamente la meta programada de 17,664, lo que representó un avance físico de 303.52%. Del total registrado, se emitieron 1,139 autorizaciones, 51,916 permisos y 559 certificaciones. El mayor volumen de ejecución correspondió al área de Transporte de Carga, con 51,621 permisos emitidos, lo cual que representó el 96.29% del total alzanzado.</t>
  </si>
  <si>
    <r>
      <t xml:space="preserve">Durante este trimestre se registró una variación significativa en la cantidad de permisos emitidos del 123.14% por encima de lo programado. Este comportamiento se debió a incidencias funcionales en la nueva plataforma tecnológica implementada para gestionar los permisos recurrentes de transporte de carga, comúnmente otorgados por períodos de tres meses. Como medida de contingencia, y a fin de no interrumpir el servicio, se procedió a emitir </t>
    </r>
    <r>
      <rPr>
        <u/>
        <sz val="12"/>
        <color theme="1"/>
        <rFont val="Calibri"/>
        <family val="2"/>
      </rPr>
      <t xml:space="preserve">permisos puntuales </t>
    </r>
    <r>
      <rPr>
        <sz val="12"/>
        <color theme="1"/>
        <rFont val="Calibri"/>
        <family val="2"/>
      </rPr>
      <t>con vigencia de tres días. Esta respuesta operativa generó un aumento sustancial en la cantidad de autorizaciones procesadas, distorsionando los valores planificados del indicador físico para el trimestre.</t>
    </r>
  </si>
  <si>
    <t>Durante este trimestre fueron emitidas 72 licencias de operación de transporte de pasajeros a las prestadoras del servicio que complementaron exitósamente los requisitos exigidos, logrando asi un porcentaje de avance del 720% respecto a la meta programada. Esta puntuación alcanzada refleja un avance en el fortalecimiento del marco regulatorio y en la formalización del sector transporte, contribuyendo a una mayor eficiencia, seguridad y calidad en la prestación del servicio de transporte de pasajeros</t>
  </si>
  <si>
    <t>El desvío físico positivo del 620.00%  superó ampliamente la meta prevista para el trimestre debido a un aumento en la demanda de licencias por parte de operadores que habían iniciado sus trámites en períodos anteriores y que retomaron y completaron su proceso de regularización en este trimestre, así como a la intensificación de las jornadas de depuración y evaluación técnica por parte del equipo institucional. Esta dinámica permitió acelerar la emisión de licencias, contribuyendo al cumplimiento anticipado de metas anuales en materia de formalización del servicio.</t>
  </si>
  <si>
    <t>El desvío financiero del tercer trimestre del 66.66% por debajo de la meta programada se debió a que la mayor parte del presupuesto asignado a este producto fue ejecutado en los primeros dos trimestres del año, particularmente para cubrir viáticos y gastos logísticos asociados a operativos de inspección, evaluación y emisión de licencias a nivel nacional. Dado que dichas acciones implicaron una movilización intensiva del personal técnico durante los primeros seis meses del año, los requerimientos financieros para el tercer trimestre fueron considerablemente menores. Las licencias emitidas en este período se realizaron con base en procesos previamente iniciados y bajo esquemas logísticos más eficientes, lo que explicó la alta ejecución física con bajo consumo financiero adicional.</t>
  </si>
  <si>
    <t xml:space="preserve">El sobrecumplimiento de la meta física trimestral del 14.45% se explica por el incremento sostenido en la demanda de licencias de conducir a nivel nacional, sumado a mejoras operativas y logísticas para su expedición. Un factor clave en este comportamiento fue la apertura de una nueva oficina en la provincia de San Cristóbal, orientada a ofrecer servicios de renovación y duplicado de licencias de conducir, lo que permitió descongestionar otras oficinas regionales y facilitar el acceso a usuarios de esa demarcación. Asimismo, el restablecimiento del flujo habitual de usuarios que había sido impactado en trimestres anteriores, junto con campañas de información ciudadana y la estabilización de la plataforma digital, permitieron una mayor eficiencia en la tramitación de solicitudes, lo que explica el cumplimiento por encima del 100% frente a la meta programada. </t>
  </si>
  <si>
    <t>En cuanto al desvío financiero del 291.57% por encima de lo programado, se debió a que durante el trimestre se procesaron pagos al Fideicomiso para la Recaudación, Inversión y Pago del Sistema Integrado de Movilidad y Transporte Terrestre (FIMOVIT), correspondientes a la transferencia de los recursos captados a través del sistema SIRITE en meses anteriores (Libramientos No. 2025-5182-01-01-0001-3204 y No. 2025-5182-01-01-0001-2990) así como otros pagos realizados en el sistema contable institucional, generando un incremento en la ejecución acumulada que no estaba contemplado en la programación financiera del período en cuestión.</t>
  </si>
  <si>
    <t>Durante el trimestre julio-septiembre 2025 recibieron formación y capacitación vial a a través de programas, cursos y talleres un total 39,416 personas en educación y formación vial, superando la meta programada de 29,713 participantes, lo que representó un avance físico de 132.66%. Este resultado refleja la ampliación de la cobertura de las acciones educativas, mediante la ejecución de jornadas presenciales y comunitarias orientadas a promover la cultura de seguridad vial y la prevención de siniestros de tránsito.
Las capacitaciones abarcaron diferentes segmentos poblacionales, incluyendo estudiantes, conductores profesionales y miembros de organizaciones, fortaleciendo el conocimiento sobre normas de tránsito, movilidad segura y responsabilidad ciudadana en la vía pública. El cumplimiento superior a la meta obedece a la alta demanda de instituciones educativas y comunidades interesadas en participar en los programas, así como a la eficiencia en la coordinación logística y metodológica por parte de los equipos técnicos.</t>
  </si>
  <si>
    <t>El sobrecumplimiento del indicador físico (132.66%) se explica por la ejecución de actividades adicionales a las previstas en el cronograma trimestral, producto de la coordinación interinstitucional y la respuesta a solicitudes externas de apoyo en educación vial. El aprovechamiento de alianzas con centros educativos, ayuntamientos y entidades del sector transporte permitió ampliar la cobertura sin incremento proporcional de costos operativos. Además, la planificación flexible de los equipos territoriales facilitó la realización de jornadas simultáneas en diferentes provincias, optimizando el uso de los recursos humanos y materiales disponibles.</t>
  </si>
  <si>
    <t>En cuanto al desvío financiero, la baja ejecución financiera (0.58%) se debió a que el proceso de compras destinado a la adquisición de artículos para acciones formativas de la Escuela Nacional de Educación Vial ENEVIAL (NO. INTRANT-DAF-CM-2025-0046), se encontraba en etapa de adjudicación y cierre contractual al cierre del trimestre. Aunque el procedimiento había sido completado en el sistema de contrataciones públicas, los pagos correspondientes aún no se habían efectuado, por lo que el consumo presupuestario no se reflejó en la ejecución del período. Se previó que los compromisos derivados de este proceso se registrarán financieramente en el siguiente trimestre, una vez finalizadas las gestiones administrativas y de recepción de los bienes.</t>
  </si>
  <si>
    <t>El comportamiento del indicador físico estuvo asociado a la restructuración  anticipada del corredor originalmente planificado para el cuarto trimestre, la cual se realizó a solicitud de FITRAM y la OMSA, con el propósito de integrarlo al Sistema Integrado de Transporte (SIT) de la provincia de Santiago de los Caballeros. Esta modificación técnica implicó la revisión del diseño operativo y la adecuación de las rutas, paradas y servicios complementarios, a fin de asegurar la coherencia funcional del corredor dentro del esquema de transporte urbano previsto para dicha demarcación, trasladando su ejecución para este trimestre.</t>
  </si>
  <si>
    <t>Yakayra Rodríguez E</t>
  </si>
  <si>
    <t>Indicador de medición</t>
  </si>
  <si>
    <t>PROGRAMACIÓN  2025</t>
  </si>
  <si>
    <t>1er. Trimestre</t>
  </si>
  <si>
    <t>2do. Trimestre</t>
  </si>
  <si>
    <t>3er. Trimestre</t>
  </si>
  <si>
    <t>4to. Trimestre</t>
  </si>
  <si>
    <t>Total</t>
  </si>
  <si>
    <t>Sumatoria de personas capacitados en programa de conciencia vial</t>
  </si>
  <si>
    <t>6916-Prestadores de servicio reciben licencia de operación de transporte de pasajeros</t>
  </si>
  <si>
    <t>Licencias de operaciones otorgadas</t>
  </si>
  <si>
    <t>6919-Conductores reciben inspección técnica vehicular</t>
  </si>
  <si>
    <t>Cantidad de inspecciones técnica realizadas</t>
  </si>
  <si>
    <t>Cantidad de licencias de conducir emitidas</t>
  </si>
  <si>
    <t>Número corredores integrados al sistema de transporte público</t>
  </si>
  <si>
    <t>2do. Semestre</t>
  </si>
  <si>
    <t>3er</t>
  </si>
  <si>
    <t>4to</t>
  </si>
  <si>
    <t>2do semestre</t>
  </si>
  <si>
    <t>3t</t>
  </si>
  <si>
    <t>4t</t>
  </si>
  <si>
    <t>Programación Semestral</t>
  </si>
  <si>
    <t>Formulación y Ejecución Semestral</t>
  </si>
  <si>
    <t>Ejecución Semestral</t>
  </si>
  <si>
    <t xml:space="preserve">Formulación y Ejecución Semestral </t>
  </si>
  <si>
    <t>Programación 2do semestre</t>
  </si>
  <si>
    <t>Durante el segundo semestre se otorgaron 141,841 documentaciones relacionadas con autorizaciones, certificaciones y permisos a usuarios del sistema nacional de transporte, superando ampliamente la meta programada de 30,998 lo que representó un avance físico de 457.58%. Del total registrado, se emitieron 2,924 autorizaciones, 138,053 permisos y 864 certificaciones. El mayor volumen de ejecución correspondió al área de Transporte de Carga, con 137,303 permisos emitidos, lo cual que representó el 96.80% del total alcanzado.</t>
  </si>
  <si>
    <t>Durante el tercer trimestre, se presentó un desvío financiero del 100.0% relacionado a que la ejecución presupuestaria prevista no se completó dentro del periodo programado, debido a que el proceso  de compras relacionado con la adquisición de útiles para operativos y equipos de protección y seguridad del personal operativo (INTRANT-CCC-CP-2025-0014) fue publicado el 30 de septiembre de 2025 y  se encontraba en etapa de contratación al cierre del trimestre, trasladándose la ejecución al cuarto trimestre, una vez concluida la adjudicación y recepción de los bienes. Cabe señalar que la publicación del proceso experimentó un ajuste en su cronograma debido a la necesidad de ampliar el tiempo destinado a la validación y revisión técnica de las especificaciones contenidas en la ficha técnica, a fin de garantizar la precisión de los requerimientos y la conformidad con los estándares institucionales y normativos aplicables.
Para el cuarto trimestre, el desvío financiero del 100.0% presentado estuvo relacionado a que la ejecución presupuestaria prevista no se completó dentro del periodo programado, debido a que el proceso  de compras relacionado con la adquisición de útiles para operativos y equipos de protección y seguridad del personal operativo (INTRANT-CCC-CP-2025-0014) fue publicado el 30 de septiembre de 2025 y  se encontraba en etapa de contratación al cierre del trimestre, trasladándose la ejecución al cuarto trimestre, una vez concluida la adjudicación y recepción de los bienes. Cabe señalar que la publicación del proceso experimentó un ajuste en su cronograma debido a la necesidad de ampliar el tiempo destinado a la validación y revisión técnica de las especificaciones contenidas en la ficha técnica, a fin de garantizar la precisión de los requerimientos y la conformidad con los estándares institucionales y normativos aplicables.
En ambos trimestres, el desvío financiero obedeció exclusivamente a factores de carácter procedimental y de control técnico del proceso de compras, sin afectar el cumplimiento de los objetivos del producto, quedando la ejecución presupuestaria sujeta a la culminación de la adjudicación y recepción de los bienes conforme al cronograma ajustado.</t>
  </si>
  <si>
    <t>En cuanto al desvío financiero del 0.24% por encima de lo programado, se debió a que durante este trimestre se procesaron pagos al Fideicomiso para la Recaudación, Inversión y Pago del Sistema Integrado de Movilidad y Transporte Terrestre (FIMOVIT), correspondientes a la transferencia de los recursos captados a través del sistema SIRITE en meses anteriores (No. oficio FIN-INT-1715-25 ), así con pagos a la JCE relacionado con consultas al padrón (No. oficioFIN-INT-1660-2025) , generando un incremento en la ejecución acumulada que no estaba contemplado en la programación financiera del período en cuestión.</t>
  </si>
  <si>
    <t>El desvío financiero del 291.57% por encima de lo programado presentado en el trecer trimestre, se debió a que se procesaron pagos al Fideicomiso para la Recaudación, Inversión y Pago del Sistema Integrado de Movilidad y Transporte Terrestre (FIMOVIT), correspondientes a la transferencia de los recursos captados a través del sistema SIRITE en meses anteriores (Libramientos No. 2025-5182-01-01-0001-3204 y No. 2025-5182-01-01-0001-2990) así como otros pagos realizados en el sistema contable institucional, generando un incremento en la ejecución acumulada que no estaba contemplado en la programación financiera del período en cuestión.
En cuanto al desvío financiero del 0.24% por encima de lo programado para el cuarto trimestre, se debió a que durante este trimestre se procesaron pagos FIMOVIT correspondientes a la transferencia de los recursos captados a través del sistema SIRITE en meses anteriores (No. oficio FIN-INT-1715-25 ), así con pagos a la JCE relacionado con consultas al padrón (No. oficioFIN-INT-1660-2025) , generando un incremento en la ejecución acumulada que no estaba contemplado en la programación financiera del período en cuestión.
En ambos casos, los desvíos financieros se originaron por la regularización y aplicación de pagos acumulados de períodos anteriores, asociados a transferencias obligatorias y compromisos institucionales ya devengados, lo que produjo variaciones puntuales en la ejecución frente a la programación trimestral, sin implicar incrementos reales del gasto ni desviaciones respecto a las obligaciones financieras estructurales del producto.</t>
  </si>
  <si>
    <t>En cuanto al desvío financiero presentado en el trecer trimestre con una baja ejecución financiera (0.58%) se debió a que el proceso de compras destinado a la adquisición de artículos para acciones formativas de la Escuela Nacional de Educación Vial ENEVIAL (NO. INTRANT-DAF-CM-2025-0046), se encontraba en etapa de adjudicación y cierre contractual al cierre del trimestre. Aunque el procedimiento había sido completado en el sistema de contrataciones públicas, los pagos correspondientes aún no se habían efectuado, por lo que el consumo presupuestario no se reflejó en la ejecución del período. Se previó que los compromisos derivados de este proceso se registrarán financieramente en el siguiente trimestre, una vez finalizadas las gestiones administrativas y de recepción de los bienes.
El desvío financiero presentado del 229.73% por encima de los programado se explicó por el desfase temporal entre la modificación presupuestaria interprogramas Nro. Solicitud 0022, solicitada el 11/07/2025, y el registro financiero de los compromisos asumidos mediante el proceso de compras No. INTRANT-DAF-CM-2025-0046, destinado a la adquisición de artículos para acciones formativas de la Escuela Nacional de Educación Vial (ENEVIAL), en cumplimiento de la actividad programada en el POA. Si bien el proceso contó con la publicación de la lista de oferentes el 06/10/2025 y la emisión del informe final de selección el 07/10/2025, quedando adjudicado y celebrado, los pagos no se reflejaron en el período octubre-diciembre debido a que estaban condicionados a la recepción conforme de los bienes y a la culminación de los trámites administrativos correspondientes, propios del cierre presupuestario del ejercicio.</t>
  </si>
  <si>
    <t>Para el cuarto trimestre, el comportamiento del indicador físico estuvo asociado a la restructuración  anticipada en trimestres anteriores de los corredores originalmente planificados para el cuarto  trimestre, los cuales se realizaron a solicitud de FITRAM y la OMSA, con el propósito de integrarlos al Sistema Integrado de Transporte (SIT) de la provincia de Santiago de los Caballeros. Esta modificación técnica implicó la revisión del diseño operativo y la adecuación de las rutas, paradas y servicios complementarios, a fin de asegurar la coherencia funcional del corredor dentro del esquema de transporte urbano previsto para dicha demarcación, trasladando su ejecución a trimestres previos del programado inicialmente.</t>
  </si>
  <si>
    <t>Durante este trimestre se avanzó en la integración de un nuevo corredor al sistema de transporte público, para lo cual se diseñó la operación y el plan de servicio correspondiente a un (1) corredor en la provincia de Santiago de los Caballeros, orientado al reforzamiento de las rutas de la OMSA mediante la incorporación de nuevas unidades y la identificación de las paradas formales. Este resultado representó un paso relevante en la consolidación del modelo de corredores integrados, al fortalecer la cobertura del transporte público urbano y mejorar las condiciones de accesibilidad, eficiencia y planificación del servicio en una de las provincias con mayor flujo de pasajeros. Pese a que solo se registró un (1) corredor durante este semestre, en el primer semestre se regitró un corredor más, lo que equivlale a dos (2) corredores (Independencia y Duarte) completando la meta establecida.</t>
  </si>
  <si>
    <t>No se registraron desvíos financieros durante el semestre, ya que la meta establecida se cumplió conforme a la programación operativa programada.</t>
  </si>
  <si>
    <t>En el cuarto trimestre, el desvío presentado en este producto del 68.13% por encima del lo programado se explica por la ejecución de actividades adicionales a las previstas en el cronograma trimestral, producto de la coordinación interinstitucional y la respuesta a solicitudes externas de apoyo en educación vial. El aprovechamiento de alianzas con centros educativos, ayuntamientos y entidades del sector transporte permitió ampliar la cobertura sin incremento proporcional de costos operativos. Además, la planificación flexible de los equipos territoriales facilitó la realización de jornadas simultáneas en diferentes provincias, optimizando el uso de los recursos humanos y materiales disponibles.</t>
  </si>
  <si>
    <t>Durante el segundo semestre de 2025 recibieron formación y capacitación vial a  través de programas, cursos y talleres un total 57,092 personas en educación y formación vial, superando la meta programada de 40,226 participantes, lo que representó un avance físico de 141.93%. Este resultado refleja la ampliación de la cobertura de las acciones educativas, mediante la ejecución de jornadas presenciales y comunitarias orientadas a promover la cultura de seguridad vial y la prevención de siniestros de tránsito.
Las capacitaciones abarcaron diferentes segmentos poblacionales, incluyendo estudiantes, conductores profesionales y miembros de organizaciones, fortaleciendo el conocimiento sobre normas de tránsito, movilidad segura y responsabilidad ciudadana en la vía pública. El cumplimiento superior a la meta obedece a la alta demanda de instituciones educativas y comunidades interesadas en participar en los programas, así como a la eficiencia en la coordinación logística y metodológica por parte de los equipos técnicos.</t>
  </si>
  <si>
    <t>El sobrecumplimiento del indicador físico (141.93%)   se explica por la ejecución de actividades adicionales a las previstas en el cronograma trimestral, producto de la coordinación interinstitucional y la respuesta a solicitudes externas de apoyo en educación vial. El aprovechamiento de alianzas con centros educativos, ayuntamientos y entidades del sector transporte permitió ampliar la cobertura sin incremento proporcional de costos operativos. Además, la planificación flexible de los equipos territoriales facilitó la realización de jornadas simultáneas en diferentes provincias, optimizando el uso de los recursos humanos y materiales disponibles.</t>
  </si>
  <si>
    <t xml:space="preserve">El sobrecumplimiento de la meta física presentada durante el segundo semestre de 2025 del 42.19% por encima de lo programado se explica por el incremento sostenido en la demanda de licencias de conducir a nivel nacional, sumado a mejoras operativas y logísticas para su expedición. Un factor clave en este comportamiento fue la apertura de una nueva oficina en la provincia de San Cristóbal, orientada a ofrecer servicios de renovación y duplicado de licencias de conducir, lo que permitió descongestionar otras oficinas regionales y facilitar el acceso a usuarios de esa demarcación. Asimismo, el restablecimiento del flujo habitual de usuarios que había sido impactado en periodos anteriores, junto con campañas de información ciudadana y la estabilización de la plataforma digital, permitieron una mayor eficiencia en la tramitación de solicitudes, lo que explica el cumplimiento por encima del 100% frente a la meta programada. </t>
  </si>
  <si>
    <t>Durante el segundo semestre fueron emitidas 124 licencias de operación de transporte de pasajeros a las prestadoras del servicio que complementaron exitosamente los requisitos exigidos, logrando así un porcentaje de avance del 413.33% respecto a la meta programada. Esta puntuación alcanzada refleja un avance en el fortalecimiento del marco regulatorio y en la formalización del sector transporte, contribuyendo a una mayor eficiencia, seguridad y calidad en la prestación del servicio de transporte de pasajeros</t>
  </si>
  <si>
    <t>El desvío físico positivo del 313.33%  superó ampliamente la meta prevista para el trimestre debido a un aumento en la demanda de licencias por parte de operadores que habían iniciado sus trámites en períodos anteriores y que retomaron y completaron su proceso de regularización en este trimestre, así como a la intensificación de las jornadas de depuración y evaluación técnica por parte del equipo institucional. Esta dinámica permitió acelerar la emisión de licencias, contribuyendo al cumplimiento anticipado de metas anuales en materia de formalización del servicio.</t>
  </si>
  <si>
    <t>Durante el tercer trimestre se presentó un desvío financiero del 66.66% mientras que el desvío financiero del cuarto trimestre se ubicó en 86.49%, ambos desvíos por debajo de la meta programada. Los mismos estuvieron relacionados a que la mayor parte del presupuesto asignado a este producto fue ejecutado en los primeros dos trimestres del año, particularmente para cubrir viáticos y gastos logísticos asociados a operativos de inspección, evaluación y emisión de licencias a nivel nacional. Dado que dichas acciones implicaron una movilización intensiva del personal técnico durante los primeros seis meses del año, los requerimientos financieros para el tercer trimestre fueron considerablemente menores. Las licencias emitidas en este período se realizaron con base en procesos previamente iniciados y bajo esquemas logísticos más eficientes, lo que explicó la alta ejecución física con bajo consumo financiero adicional.</t>
  </si>
  <si>
    <r>
      <t xml:space="preserve">Durante este semestre se registró una variación significativa en la cantidad de permisos emitidos del 123.14% por encima de lo programado. Este comportamiento se debió a incidencias funcionales en la nueva plataforma tecnológica implementada para gestionar los permisos recurrentes de transporte de carga, comúnmente otorgados por períodos de tres meses. Como medida de contingencia, y a fin de no interrumpir el servicio, se procedió a emitir </t>
    </r>
    <r>
      <rPr>
        <u/>
        <sz val="12"/>
        <color theme="1"/>
        <rFont val="Calibri"/>
        <family val="2"/>
      </rPr>
      <t xml:space="preserve">permisos puntuales </t>
    </r>
    <r>
      <rPr>
        <sz val="12"/>
        <color theme="1"/>
        <rFont val="Calibri"/>
        <family val="2"/>
      </rPr>
      <t>con vigencia de tres días. Esta respuesta operativa generó un aumento sustancial en la cantidad de autorizaciones procesadas, distorsionando los valores planificados del indicador físico para el trimestre, representando el 97.12% del total registrado.</t>
    </r>
  </si>
  <si>
    <t>El desvío financiero del cuartotrimestre del 79.97% por debajo de la meta programada se debió a que la mayor parte del presupuesto asignado a este producto fue ejecutado en los primeros dos trimestres del año, particularmente para cubrir viáticos y gastos logísticos asociados a operativos de inspección, evaluación y emisión de licencias a nivel nacional. Dado que dichas acciones implicaron una movilización intensiva del personal técnico durante los primeros seis meses del año, los requerimientos financieros para el tercer trimestre fueron considerablemente menores. Las licencias emitidas en este período se realizaron con base en procesos previamente iniciados y bajo esquemas logísticos más eficientes, lo que explicó la alta ejecución física con bajo consumo financiero adicional.</t>
  </si>
  <si>
    <r>
      <rPr>
        <b/>
        <sz val="24"/>
        <color theme="1"/>
        <rFont val="Calibri"/>
        <family val="2"/>
        <scheme val="minor"/>
      </rPr>
      <t>INSTITUTO NACIONAL DE TRÁNSITO Y TRANSPORTE -INTRANT-</t>
    </r>
    <r>
      <rPr>
        <b/>
        <sz val="18"/>
        <color theme="1"/>
        <rFont val="Calibri"/>
        <family val="2"/>
        <scheme val="minor"/>
      </rPr>
      <t xml:space="preserve">
DIRECCION DE PLANIFICACIÓN Y DESARROLLO
</t>
    </r>
    <r>
      <rPr>
        <b/>
        <sz val="17"/>
        <color theme="1"/>
        <rFont val="Calibri"/>
        <family val="2"/>
        <scheme val="minor"/>
      </rPr>
      <t>Departamento de Formulación, Monitoreo y Evaluación de Planes, Programas y Proyectos</t>
    </r>
    <r>
      <rPr>
        <b/>
        <sz val="18"/>
        <rFont val="Calibri"/>
        <family val="2"/>
        <scheme val="minor"/>
      </rPr>
      <t xml:space="preserve">
</t>
    </r>
    <r>
      <rPr>
        <b/>
        <sz val="18"/>
        <color theme="5" tint="-0.499984740745262"/>
        <rFont val="Calibri"/>
        <family val="2"/>
        <scheme val="minor"/>
      </rPr>
      <t xml:space="preserve">Informe de Evaluación Semestral de las Metas Físicas y Financieras 
</t>
    </r>
    <r>
      <rPr>
        <b/>
        <sz val="18"/>
        <color rgb="FF002060"/>
        <rFont val="Calibri"/>
        <family val="2"/>
        <scheme val="minor"/>
      </rPr>
      <t>SEMESTRE:</t>
    </r>
    <r>
      <rPr>
        <b/>
        <sz val="18"/>
        <color theme="1"/>
        <rFont val="Calibri"/>
        <family val="2"/>
        <scheme val="minor"/>
      </rPr>
      <t xml:space="preserve"> Julio - Diciembre 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</si>
</sst>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_(* \(#,##0.00\);_(* &quot;-&quot;??_);_(@_)"/>
    <numFmt numFmtId="164" formatCode="[$-10409]#,##0;\-#,##0"/>
    <numFmt numFmtId="165" formatCode="[$-10409]#,##0.00;\-#,##0.00"/>
    <numFmt numFmtId="166" formatCode="[$-10409]0.00%"/>
    <numFmt numFmtId="167" formatCode="#,##0_ ;\-#,##0\ "/>
    <numFmt numFmtId="168" formatCode="[$-10409]#,##0.0;\-#,##0.0"/>
  </numFmts>
  <fonts count="34" x14ac:knownFonts="1">
    <font>
      <sz val="11"/>
      <color theme="1"/>
      <name val="Calibri"/>
      <family val="2"/>
      <scheme val="minor"/>
    </font>
    <font>
      <sz val="11"/>
      <color theme="1"/>
      <name val="Calibri"/>
      <family val="2"/>
      <scheme val="minor"/>
    </font>
    <font>
      <b/>
      <sz val="18"/>
      <name val="Calibri"/>
      <family val="2"/>
      <scheme val="minor"/>
    </font>
    <font>
      <b/>
      <sz val="24"/>
      <color theme="1"/>
      <name val="Calibri"/>
      <family val="2"/>
      <scheme val="minor"/>
    </font>
    <font>
      <b/>
      <sz val="18"/>
      <color theme="1"/>
      <name val="Calibri"/>
      <family val="2"/>
      <scheme val="minor"/>
    </font>
    <font>
      <b/>
      <sz val="17"/>
      <color theme="1"/>
      <name val="Calibri"/>
      <family val="2"/>
      <scheme val="minor"/>
    </font>
    <font>
      <b/>
      <sz val="18"/>
      <color theme="5" tint="-0.499984740745262"/>
      <name val="Calibri"/>
      <family val="2"/>
      <scheme val="minor"/>
    </font>
    <font>
      <b/>
      <sz val="18"/>
      <color rgb="FF002060"/>
      <name val="Calibri"/>
      <family val="2"/>
      <scheme val="minor"/>
    </font>
    <font>
      <sz val="12"/>
      <color theme="1"/>
      <name val="Calibri"/>
      <family val="2"/>
      <scheme val="minor"/>
    </font>
    <font>
      <b/>
      <sz val="18"/>
      <color theme="0"/>
      <name val="Calibri"/>
      <family val="2"/>
      <scheme val="minor"/>
    </font>
    <font>
      <b/>
      <sz val="12"/>
      <color rgb="FF000000"/>
      <name val="Calibri"/>
      <family val="2"/>
      <scheme val="minor"/>
    </font>
    <font>
      <b/>
      <sz val="12"/>
      <color theme="1"/>
      <name val="Calibri"/>
      <family val="2"/>
      <scheme val="minor"/>
    </font>
    <font>
      <sz val="12"/>
      <name val="Calibri"/>
      <family val="2"/>
    </font>
    <font>
      <b/>
      <sz val="16"/>
      <color theme="0"/>
      <name val="Calibri"/>
      <family val="2"/>
      <scheme val="minor"/>
    </font>
    <font>
      <sz val="12"/>
      <color rgb="FF000000"/>
      <name val="Century Gothic"/>
      <family val="2"/>
    </font>
    <font>
      <b/>
      <sz val="12"/>
      <name val="Calibri"/>
      <family val="2"/>
    </font>
    <font>
      <sz val="12"/>
      <color theme="1"/>
      <name val="Calibri"/>
      <family val="2"/>
    </font>
    <font>
      <sz val="12"/>
      <color rgb="FFFF0000"/>
      <name val="Calibri"/>
      <family val="2"/>
      <scheme val="minor"/>
    </font>
    <font>
      <b/>
      <sz val="12"/>
      <color rgb="FF000000"/>
      <name val="Calibri"/>
      <family val="2"/>
    </font>
    <font>
      <sz val="11"/>
      <name val="Calibri"/>
      <family val="2"/>
    </font>
    <font>
      <u/>
      <sz val="12"/>
      <color theme="1"/>
      <name val="Calibri"/>
      <family val="2"/>
    </font>
    <font>
      <b/>
      <sz val="14"/>
      <color theme="0"/>
      <name val="Calibri"/>
      <family val="2"/>
      <scheme val="minor"/>
    </font>
    <font>
      <b/>
      <sz val="12"/>
      <name val="Calibri"/>
      <family val="2"/>
      <scheme val="minor"/>
    </font>
    <font>
      <sz val="12"/>
      <color rgb="FF002060"/>
      <name val="Calibri"/>
      <family val="2"/>
    </font>
    <font>
      <b/>
      <sz val="14"/>
      <name val="Calibri"/>
      <family val="2"/>
    </font>
    <font>
      <sz val="14"/>
      <name val="Calibri"/>
      <family val="2"/>
    </font>
    <font>
      <sz val="14"/>
      <color theme="1"/>
      <name val="Calibri"/>
      <family val="2"/>
      <scheme val="minor"/>
    </font>
    <font>
      <b/>
      <sz val="11"/>
      <color theme="0"/>
      <name val="Calibri"/>
      <family val="2"/>
      <scheme val="minor"/>
    </font>
    <font>
      <sz val="12"/>
      <color rgb="FFFF0000"/>
      <name val="Calibri"/>
      <family val="2"/>
    </font>
    <font>
      <b/>
      <sz val="10"/>
      <color rgb="FFFFFFFF"/>
      <name val="Times New Roman"/>
      <family val="1"/>
    </font>
    <font>
      <sz val="10"/>
      <name val="Times New Roman"/>
      <family val="1"/>
    </font>
    <font>
      <sz val="10"/>
      <color rgb="FF000000"/>
      <name val="Times New Roman"/>
      <family val="1"/>
    </font>
    <font>
      <b/>
      <sz val="10"/>
      <color rgb="FF000000"/>
      <name val="Times New Roman"/>
      <family val="1"/>
    </font>
    <font>
      <b/>
      <sz val="16"/>
      <color theme="1"/>
      <name val="Calibri"/>
      <family val="2"/>
      <scheme val="minor"/>
    </font>
  </fonts>
  <fills count="16">
    <fill>
      <patternFill patternType="none"/>
    </fill>
    <fill>
      <patternFill patternType="gray125"/>
    </fill>
    <fill>
      <patternFill patternType="solid">
        <fgColor rgb="FFC00000"/>
        <bgColor indexed="64"/>
      </patternFill>
    </fill>
    <fill>
      <patternFill patternType="solid">
        <fgColor rgb="FF045A79"/>
        <bgColor indexed="64"/>
      </patternFill>
    </fill>
    <fill>
      <patternFill patternType="solid">
        <fgColor rgb="FFF58220"/>
        <bgColor indexed="64"/>
      </patternFill>
    </fill>
    <fill>
      <patternFill patternType="solid">
        <fgColor rgb="FF00B0F0"/>
        <bgColor indexed="64"/>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tint="-0.14999847407452621"/>
        <bgColor rgb="FFF5F5F5"/>
      </patternFill>
    </fill>
    <fill>
      <patternFill patternType="solid">
        <fgColor rgb="FF002060"/>
        <bgColor indexed="64"/>
      </patternFill>
    </fill>
    <fill>
      <patternFill patternType="solid">
        <fgColor theme="6" tint="0.79998168889431442"/>
        <bgColor indexed="64"/>
      </patternFill>
    </fill>
    <fill>
      <patternFill patternType="solid">
        <fgColor rgb="FFFFFFFF"/>
        <bgColor indexed="64"/>
      </patternFill>
    </fill>
    <fill>
      <patternFill patternType="solid">
        <fgColor rgb="FF92D050"/>
        <bgColor indexed="64"/>
      </patternFill>
    </fill>
    <fill>
      <patternFill patternType="solid">
        <fgColor rgb="FF0070C0"/>
        <bgColor indexed="64"/>
      </patternFill>
    </fill>
    <fill>
      <patternFill patternType="solid">
        <fgColor theme="1"/>
        <bgColor indexed="64"/>
      </patternFill>
    </fill>
  </fills>
  <borders count="6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medium">
        <color indexed="64"/>
      </bottom>
      <diagonal/>
    </border>
    <border>
      <left style="thin">
        <color rgb="FFA6A6A6"/>
      </left>
      <right/>
      <top style="medium">
        <color indexed="64"/>
      </top>
      <bottom style="medium">
        <color indexed="64"/>
      </bottom>
      <diagonal/>
    </border>
    <border>
      <left/>
      <right style="thin">
        <color rgb="FFA6A6A6"/>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rgb="FFA6A6A6"/>
      </left>
      <right/>
      <top style="medium">
        <color indexed="64"/>
      </top>
      <bottom/>
      <diagonal/>
    </border>
    <border>
      <left/>
      <right style="thin">
        <color rgb="FFA6A6A6"/>
      </right>
      <top style="medium">
        <color indexed="64"/>
      </top>
      <bottom/>
      <diagonal/>
    </border>
    <border>
      <left style="thin">
        <color indexed="64"/>
      </left>
      <right style="medium">
        <color indexed="64"/>
      </right>
      <top style="medium">
        <color indexed="64"/>
      </top>
      <bottom/>
      <diagonal/>
    </border>
    <border>
      <left style="thin">
        <color rgb="FFA6A6A6"/>
      </left>
      <right style="thin">
        <color rgb="FFA6A6A6"/>
      </right>
      <top/>
      <bottom style="thin">
        <color rgb="FFA6A6A6"/>
      </bottom>
      <diagonal/>
    </border>
    <border>
      <left/>
      <right style="thin">
        <color rgb="FFA6A6A6"/>
      </right>
      <top/>
      <bottom style="thin">
        <color rgb="FFA6A6A6"/>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000000"/>
      </left>
      <right style="medium">
        <color rgb="FFFFFFFF"/>
      </right>
      <top style="medium">
        <color rgb="FF000000"/>
      </top>
      <bottom/>
      <diagonal/>
    </border>
    <border>
      <left style="medium">
        <color rgb="FF000000"/>
      </left>
      <right style="medium">
        <color rgb="FFFFFFFF"/>
      </right>
      <top/>
      <bottom style="medium">
        <color rgb="FFFFFFFF"/>
      </bottom>
      <diagonal/>
    </border>
    <border>
      <left/>
      <right style="medium">
        <color rgb="FFFFFFFF"/>
      </right>
      <top/>
      <bottom style="medium">
        <color rgb="FFFFFFFF"/>
      </bottom>
      <diagonal/>
    </border>
    <border>
      <left/>
      <right style="medium">
        <color rgb="FF000000"/>
      </right>
      <top style="medium">
        <color rgb="FF000000"/>
      </top>
      <bottom style="medium">
        <color rgb="FFFFFFFF"/>
      </bottom>
      <diagonal/>
    </border>
    <border>
      <left/>
      <right/>
      <top style="medium">
        <color rgb="FF000000"/>
      </top>
      <bottom style="medium">
        <color rgb="FFFFFFFF"/>
      </bottom>
      <diagonal/>
    </border>
    <border>
      <left/>
      <right style="medium">
        <color rgb="FF000000"/>
      </right>
      <top/>
      <bottom style="medium">
        <color rgb="FFFFFFFF"/>
      </bottom>
      <diagonal/>
    </border>
    <border>
      <left style="medium">
        <color indexed="64"/>
      </left>
      <right style="medium">
        <color indexed="64"/>
      </right>
      <top/>
      <bottom style="medium">
        <color indexed="64"/>
      </bottom>
      <diagonal/>
    </border>
    <border>
      <left style="medium">
        <color rgb="FFFFFFFF"/>
      </left>
      <right style="medium">
        <color rgb="FFFFFFFF"/>
      </right>
      <top style="medium">
        <color rgb="FF000000"/>
      </top>
      <bottom/>
      <diagonal/>
    </border>
    <border>
      <left style="medium">
        <color rgb="FFFFFFFF"/>
      </left>
      <right style="medium">
        <color rgb="FFFFFFFF"/>
      </right>
      <top/>
      <bottom style="medium">
        <color rgb="FFFFFFFF"/>
      </bottom>
      <diagonal/>
    </border>
    <border>
      <left style="medium">
        <color rgb="FFFFFFFF"/>
      </left>
      <right/>
      <top style="medium">
        <color rgb="FF000000"/>
      </top>
      <bottom style="medium">
        <color rgb="FFFFFFFF"/>
      </bottom>
      <diagonal/>
    </border>
    <border>
      <left style="medium">
        <color rgb="FFFFFFFF"/>
      </left>
      <right/>
      <top/>
      <bottom/>
      <diagonal/>
    </border>
    <border>
      <left style="medium">
        <color rgb="FF000000"/>
      </left>
      <right style="medium">
        <color rgb="FFFFFFFF"/>
      </right>
      <top/>
      <bottom/>
      <diagonal/>
    </border>
    <border>
      <left style="medium">
        <color rgb="FFFFFFFF"/>
      </left>
      <right style="medium">
        <color rgb="FFFFFFFF"/>
      </right>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202">
    <xf numFmtId="0" fontId="0" fillId="0" borderId="0" xfId="0"/>
    <xf numFmtId="0" fontId="8" fillId="0" borderId="0" xfId="0" applyFont="1"/>
    <xf numFmtId="0" fontId="10" fillId="0" borderId="7" xfId="0" applyFont="1" applyBorder="1" applyAlignment="1">
      <alignment vertical="center"/>
    </xf>
    <xf numFmtId="0" fontId="11" fillId="0" borderId="10" xfId="0" applyFont="1" applyBorder="1"/>
    <xf numFmtId="0" fontId="10" fillId="0" borderId="10" xfId="0" applyFont="1" applyBorder="1" applyAlignment="1">
      <alignment vertical="center"/>
    </xf>
    <xf numFmtId="0" fontId="12" fillId="0" borderId="0" xfId="0" applyFont="1" applyProtection="1">
      <protection locked="0"/>
    </xf>
    <xf numFmtId="0" fontId="10" fillId="0" borderId="13" xfId="0" applyFont="1" applyBorder="1" applyAlignment="1">
      <alignment vertical="center"/>
    </xf>
    <xf numFmtId="0" fontId="10" fillId="0" borderId="10" xfId="0" applyFont="1" applyBorder="1" applyAlignment="1">
      <alignment vertical="center" wrapText="1"/>
    </xf>
    <xf numFmtId="0" fontId="17" fillId="0" borderId="0" xfId="0" applyFont="1"/>
    <xf numFmtId="0" fontId="18" fillId="9" borderId="29" xfId="0" applyFont="1" applyFill="1" applyBorder="1" applyAlignment="1">
      <alignment horizontal="center" vertical="center" wrapText="1" readingOrder="1"/>
    </xf>
    <xf numFmtId="0" fontId="18" fillId="9" borderId="8" xfId="0" applyFont="1" applyFill="1" applyBorder="1" applyAlignment="1">
      <alignment horizontal="center" vertical="center" wrapText="1" readingOrder="1"/>
    </xf>
    <xf numFmtId="0" fontId="18" fillId="9" borderId="30" xfId="0" applyFont="1" applyFill="1" applyBorder="1" applyAlignment="1">
      <alignment horizontal="center" vertical="center" wrapText="1" readingOrder="1"/>
    </xf>
    <xf numFmtId="0" fontId="12" fillId="0" borderId="31" xfId="0" applyFont="1" applyBorder="1" applyAlignment="1" applyProtection="1">
      <alignment horizontal="center" vertical="center" wrapText="1"/>
      <protection locked="0"/>
    </xf>
    <xf numFmtId="0" fontId="19" fillId="0" borderId="14" xfId="0" applyFont="1" applyBorder="1" applyAlignment="1" applyProtection="1">
      <alignment horizontal="center" vertical="center" wrapText="1"/>
      <protection locked="0"/>
    </xf>
    <xf numFmtId="164" fontId="16" fillId="7" borderId="14" xfId="0" applyNumberFormat="1" applyFont="1" applyFill="1" applyBorder="1" applyAlignment="1" applyProtection="1">
      <alignment horizontal="center" vertical="center" wrapText="1" readingOrder="1"/>
      <protection locked="0"/>
    </xf>
    <xf numFmtId="165" fontId="16" fillId="7" borderId="14" xfId="0" applyNumberFormat="1" applyFont="1" applyFill="1" applyBorder="1" applyAlignment="1" applyProtection="1">
      <alignment horizontal="center" vertical="center" wrapText="1" readingOrder="1"/>
      <protection locked="0"/>
    </xf>
    <xf numFmtId="10" fontId="16" fillId="7" borderId="14" xfId="2" applyNumberFormat="1" applyFont="1" applyFill="1" applyBorder="1" applyAlignment="1" applyProtection="1">
      <alignment horizontal="center" vertical="center" wrapText="1" readingOrder="1"/>
      <protection locked="0"/>
    </xf>
    <xf numFmtId="10" fontId="12" fillId="7" borderId="32" xfId="2" applyNumberFormat="1" applyFont="1" applyFill="1" applyBorder="1" applyAlignment="1" applyProtection="1">
      <alignment horizontal="center" vertical="center" wrapText="1" readingOrder="1"/>
      <protection locked="0"/>
    </xf>
    <xf numFmtId="0" fontId="8" fillId="0" borderId="0" xfId="0" applyFont="1" applyAlignment="1">
      <alignment vertical="center"/>
    </xf>
    <xf numFmtId="0" fontId="10" fillId="0" borderId="10" xfId="0" applyFont="1" applyBorder="1" applyAlignment="1" applyProtection="1">
      <alignment vertical="center" wrapText="1"/>
      <protection locked="0"/>
    </xf>
    <xf numFmtId="0" fontId="17" fillId="0" borderId="0" xfId="0" applyFont="1" applyAlignment="1">
      <alignment vertical="center" wrapText="1"/>
    </xf>
    <xf numFmtId="0" fontId="15" fillId="8" borderId="38" xfId="0" applyFont="1" applyFill="1" applyBorder="1" applyAlignment="1">
      <alignment vertical="center" wrapText="1"/>
    </xf>
    <xf numFmtId="0" fontId="15" fillId="8" borderId="39" xfId="0" applyFont="1" applyFill="1" applyBorder="1" applyAlignment="1">
      <alignment vertical="center" wrapText="1"/>
    </xf>
    <xf numFmtId="0" fontId="12" fillId="0" borderId="14" xfId="0" applyFont="1" applyBorder="1" applyAlignment="1" applyProtection="1">
      <alignment horizontal="center" vertical="center" wrapText="1"/>
      <protection locked="0"/>
    </xf>
    <xf numFmtId="164" fontId="16" fillId="0" borderId="14" xfId="0" applyNumberFormat="1" applyFont="1" applyBorder="1" applyAlignment="1" applyProtection="1">
      <alignment horizontal="center" vertical="center" wrapText="1"/>
      <protection locked="0"/>
    </xf>
    <xf numFmtId="10" fontId="12" fillId="0" borderId="14" xfId="2" applyNumberFormat="1" applyFont="1" applyFill="1" applyBorder="1" applyAlignment="1" applyProtection="1">
      <alignment horizontal="center" vertical="center" wrapText="1" readingOrder="1"/>
      <protection locked="0"/>
    </xf>
    <xf numFmtId="166" fontId="12" fillId="11" borderId="32" xfId="0" applyNumberFormat="1" applyFont="1" applyFill="1" applyBorder="1" applyAlignment="1" applyProtection="1">
      <alignment horizontal="center" vertical="center" wrapText="1" readingOrder="1"/>
      <protection locked="0"/>
    </xf>
    <xf numFmtId="0" fontId="22" fillId="0" borderId="10" xfId="0" applyFont="1" applyBorder="1" applyAlignment="1" applyProtection="1">
      <alignment vertical="center" wrapText="1"/>
      <protection locked="0"/>
    </xf>
    <xf numFmtId="0" fontId="8" fillId="6" borderId="33" xfId="0" applyFont="1" applyFill="1" applyBorder="1"/>
    <xf numFmtId="0" fontId="8" fillId="6" borderId="34" xfId="0" applyFont="1" applyFill="1" applyBorder="1"/>
    <xf numFmtId="0" fontId="12" fillId="0" borderId="31" xfId="0" applyFont="1" applyBorder="1" applyAlignment="1" applyProtection="1">
      <alignment horizontal="center" vertical="top" wrapText="1"/>
      <protection locked="0"/>
    </xf>
    <xf numFmtId="0" fontId="12" fillId="7" borderId="14" xfId="0" applyFont="1" applyFill="1" applyBorder="1" applyAlignment="1" applyProtection="1">
      <alignment horizontal="center" vertical="top" wrapText="1"/>
      <protection locked="0"/>
    </xf>
    <xf numFmtId="167" fontId="16" fillId="7" borderId="14" xfId="0" applyNumberFormat="1" applyFont="1" applyFill="1" applyBorder="1" applyAlignment="1" applyProtection="1">
      <alignment horizontal="center" vertical="center" wrapText="1" readingOrder="1"/>
      <protection locked="0"/>
    </xf>
    <xf numFmtId="167" fontId="16" fillId="0" borderId="14" xfId="0" applyNumberFormat="1" applyFont="1" applyBorder="1" applyAlignment="1" applyProtection="1">
      <alignment horizontal="center" vertical="center" wrapText="1" readingOrder="1"/>
      <protection locked="0"/>
    </xf>
    <xf numFmtId="165" fontId="8" fillId="0" borderId="0" xfId="0" applyNumberFormat="1" applyFont="1"/>
    <xf numFmtId="0" fontId="16" fillId="0" borderId="14" xfId="0" applyFont="1" applyBorder="1" applyAlignment="1" applyProtection="1">
      <alignment horizontal="center" vertical="center" wrapText="1"/>
      <protection locked="0"/>
    </xf>
    <xf numFmtId="164" fontId="16" fillId="7" borderId="14" xfId="0" applyNumberFormat="1" applyFont="1" applyFill="1" applyBorder="1" applyAlignment="1" applyProtection="1">
      <alignment horizontal="center" vertical="center" wrapText="1"/>
      <protection locked="0"/>
    </xf>
    <xf numFmtId="164" fontId="16" fillId="0" borderId="14" xfId="0" applyNumberFormat="1" applyFont="1" applyBorder="1" applyAlignment="1" applyProtection="1">
      <alignment horizontal="center" vertical="center" wrapText="1" readingOrder="1"/>
      <protection locked="0"/>
    </xf>
    <xf numFmtId="10" fontId="16" fillId="0" borderId="14" xfId="2" applyNumberFormat="1" applyFont="1" applyFill="1" applyBorder="1" applyAlignment="1" applyProtection="1">
      <alignment horizontal="center" vertical="center" wrapText="1" readingOrder="1"/>
      <protection locked="0"/>
    </xf>
    <xf numFmtId="0" fontId="12" fillId="7" borderId="40" xfId="0" applyFont="1" applyFill="1" applyBorder="1" applyProtection="1">
      <protection locked="0"/>
    </xf>
    <xf numFmtId="0" fontId="12" fillId="7" borderId="0" xfId="0" applyFont="1" applyFill="1" applyProtection="1">
      <protection locked="0"/>
    </xf>
    <xf numFmtId="0" fontId="12" fillId="7" borderId="41" xfId="0" applyFont="1" applyFill="1" applyBorder="1" applyProtection="1">
      <protection locked="0"/>
    </xf>
    <xf numFmtId="0" fontId="25" fillId="7" borderId="0" xfId="0" applyFont="1" applyFill="1" applyProtection="1">
      <protection locked="0"/>
    </xf>
    <xf numFmtId="0" fontId="26" fillId="0" borderId="0" xfId="0" applyFont="1"/>
    <xf numFmtId="0" fontId="12" fillId="7" borderId="45" xfId="0" applyFont="1" applyFill="1" applyBorder="1" applyProtection="1">
      <protection locked="0"/>
    </xf>
    <xf numFmtId="0" fontId="12" fillId="7" borderId="46" xfId="0" applyFont="1" applyFill="1" applyBorder="1" applyProtection="1">
      <protection locked="0"/>
    </xf>
    <xf numFmtId="0" fontId="12" fillId="7" borderId="47" xfId="0" applyFont="1" applyFill="1" applyBorder="1" applyProtection="1">
      <protection locked="0"/>
    </xf>
    <xf numFmtId="166" fontId="8" fillId="0" borderId="0" xfId="0" applyNumberFormat="1" applyFont="1"/>
    <xf numFmtId="0" fontId="8" fillId="0" borderId="0" xfId="0" applyFont="1" applyProtection="1">
      <protection locked="0"/>
    </xf>
    <xf numFmtId="0" fontId="28" fillId="0" borderId="0" xfId="0" applyFont="1" applyProtection="1">
      <protection locked="0"/>
    </xf>
    <xf numFmtId="0" fontId="12" fillId="0" borderId="0" xfId="0" applyFont="1" applyAlignment="1" applyProtection="1">
      <alignment vertical="center"/>
      <protection locked="0"/>
    </xf>
    <xf numFmtId="0" fontId="25" fillId="0" borderId="0" xfId="0" applyFont="1" applyProtection="1">
      <protection locked="0"/>
    </xf>
    <xf numFmtId="0" fontId="29" fillId="10" borderId="48" xfId="0" applyFont="1" applyFill="1" applyBorder="1" applyAlignment="1">
      <alignment vertical="center" wrapText="1"/>
    </xf>
    <xf numFmtId="0" fontId="29" fillId="10" borderId="50" xfId="0" applyFont="1" applyFill="1" applyBorder="1" applyAlignment="1">
      <alignment horizontal="center" vertical="center" wrapText="1"/>
    </xf>
    <xf numFmtId="0" fontId="29" fillId="10" borderId="53" xfId="0" applyFont="1" applyFill="1" applyBorder="1" applyAlignment="1">
      <alignment horizontal="center" vertical="center" wrapText="1"/>
    </xf>
    <xf numFmtId="0" fontId="30" fillId="0" borderId="54" xfId="0" applyFont="1" applyBorder="1" applyAlignment="1">
      <alignment vertical="center" wrapText="1"/>
    </xf>
    <xf numFmtId="0" fontId="30" fillId="0" borderId="47" xfId="0" applyFont="1" applyBorder="1" applyAlignment="1">
      <alignment vertical="center" wrapText="1"/>
    </xf>
    <xf numFmtId="3" fontId="31" fillId="12" borderId="47" xfId="0" applyNumberFormat="1" applyFont="1" applyFill="1" applyBorder="1" applyAlignment="1">
      <alignment horizontal="center" vertical="center" wrapText="1"/>
    </xf>
    <xf numFmtId="3" fontId="32" fillId="12" borderId="47" xfId="0" applyNumberFormat="1" applyFont="1" applyFill="1" applyBorder="1" applyAlignment="1">
      <alignment horizontal="center" vertical="center" wrapText="1"/>
    </xf>
    <xf numFmtId="0" fontId="31" fillId="12" borderId="47" xfId="0" applyFont="1" applyFill="1" applyBorder="1" applyAlignment="1">
      <alignment horizontal="center" vertical="center" wrapText="1"/>
    </xf>
    <xf numFmtId="0" fontId="32" fillId="12" borderId="47" xfId="0" applyFont="1" applyFill="1" applyBorder="1" applyAlignment="1">
      <alignment horizontal="center" vertical="center" wrapText="1"/>
    </xf>
    <xf numFmtId="0" fontId="31" fillId="0" borderId="47" xfId="0" applyFont="1" applyBorder="1" applyAlignment="1">
      <alignment vertical="center" wrapText="1"/>
    </xf>
    <xf numFmtId="0" fontId="0" fillId="0" borderId="0" xfId="0" applyAlignment="1">
      <alignment horizontal="center"/>
    </xf>
    <xf numFmtId="0" fontId="12" fillId="7" borderId="14" xfId="0" applyFont="1" applyFill="1" applyBorder="1" applyAlignment="1" applyProtection="1">
      <alignment horizontal="center" vertical="center" wrapText="1"/>
      <protection locked="0"/>
    </xf>
    <xf numFmtId="0" fontId="29" fillId="10" borderId="0" xfId="0" applyFont="1" applyFill="1" applyAlignment="1">
      <alignment horizontal="center" vertical="center" wrapText="1"/>
    </xf>
    <xf numFmtId="0" fontId="8" fillId="0" borderId="0" xfId="0" applyFont="1" applyAlignment="1">
      <alignment horizontal="center"/>
    </xf>
    <xf numFmtId="0" fontId="17" fillId="0" borderId="0" xfId="0" applyFont="1" applyAlignment="1">
      <alignment horizontal="center"/>
    </xf>
    <xf numFmtId="0" fontId="8" fillId="0" borderId="0" xfId="0" applyFont="1" applyAlignment="1">
      <alignment horizontal="center" vertical="center"/>
    </xf>
    <xf numFmtId="0" fontId="12" fillId="0" borderId="0" xfId="0" applyFont="1" applyAlignment="1" applyProtection="1">
      <alignment horizontal="center"/>
      <protection locked="0"/>
    </xf>
    <xf numFmtId="0" fontId="30" fillId="0" borderId="11" xfId="0" applyFont="1" applyBorder="1" applyAlignment="1">
      <alignment vertical="center" wrapText="1"/>
    </xf>
    <xf numFmtId="3" fontId="0" fillId="0" borderId="11" xfId="0" applyNumberFormat="1" applyBorder="1" applyAlignment="1">
      <alignment horizontal="center"/>
    </xf>
    <xf numFmtId="0" fontId="31" fillId="0" borderId="11" xfId="0" applyFont="1" applyBorder="1" applyAlignment="1">
      <alignment vertical="center" wrapText="1"/>
    </xf>
    <xf numFmtId="0" fontId="30" fillId="13" borderId="11" xfId="0" applyFont="1" applyFill="1" applyBorder="1" applyAlignment="1">
      <alignment vertical="center" wrapText="1"/>
    </xf>
    <xf numFmtId="3" fontId="0" fillId="13" borderId="11" xfId="0" applyNumberFormat="1" applyFill="1" applyBorder="1" applyAlignment="1">
      <alignment horizontal="center"/>
    </xf>
    <xf numFmtId="168" fontId="16" fillId="7" borderId="14" xfId="0" applyNumberFormat="1" applyFont="1" applyFill="1" applyBorder="1" applyAlignment="1" applyProtection="1">
      <alignment horizontal="center" vertical="center" wrapText="1" readingOrder="1"/>
      <protection locked="0"/>
    </xf>
    <xf numFmtId="0" fontId="27" fillId="14" borderId="0" xfId="0" applyFont="1" applyFill="1"/>
    <xf numFmtId="0" fontId="0" fillId="15" borderId="0" xfId="0" applyFill="1"/>
    <xf numFmtId="0" fontId="0" fillId="15" borderId="0" xfId="0" applyFill="1" applyAlignment="1">
      <alignment horizontal="center"/>
    </xf>
    <xf numFmtId="0" fontId="12" fillId="0" borderId="0" xfId="0" applyFont="1" applyAlignment="1" applyProtection="1">
      <alignment horizontal="center" vertical="center" wrapText="1"/>
      <protection locked="0"/>
    </xf>
    <xf numFmtId="0" fontId="12" fillId="7" borderId="0" xfId="0" applyFont="1" applyFill="1" applyAlignment="1" applyProtection="1">
      <alignment horizontal="center" vertical="center" wrapText="1"/>
      <protection locked="0"/>
    </xf>
    <xf numFmtId="167" fontId="16" fillId="7" borderId="0" xfId="0" applyNumberFormat="1" applyFont="1" applyFill="1" applyAlignment="1" applyProtection="1">
      <alignment horizontal="center" vertical="center" wrapText="1" readingOrder="1"/>
      <protection locked="0"/>
    </xf>
    <xf numFmtId="10" fontId="16" fillId="7" borderId="0" xfId="2" applyNumberFormat="1" applyFont="1" applyFill="1" applyBorder="1" applyAlignment="1" applyProtection="1">
      <alignment horizontal="center" vertical="center" wrapText="1" readingOrder="1"/>
      <protection locked="0"/>
    </xf>
    <xf numFmtId="166" fontId="12" fillId="11" borderId="0" xfId="0" applyNumberFormat="1" applyFont="1" applyFill="1" applyAlignment="1" applyProtection="1">
      <alignment horizontal="center" vertical="center" wrapText="1" readingOrder="1"/>
      <protection locked="0"/>
    </xf>
    <xf numFmtId="0" fontId="8" fillId="7" borderId="0" xfId="0" applyFont="1" applyFill="1"/>
    <xf numFmtId="0" fontId="17" fillId="7" borderId="0" xfId="0" applyFont="1" applyFill="1"/>
    <xf numFmtId="164" fontId="12" fillId="7" borderId="0" xfId="0" applyNumberFormat="1" applyFont="1" applyFill="1" applyAlignment="1" applyProtection="1">
      <alignment vertical="center"/>
      <protection locked="0"/>
    </xf>
    <xf numFmtId="0" fontId="17" fillId="7" borderId="0" xfId="0" applyFont="1" applyFill="1" applyAlignment="1">
      <alignment vertical="center" wrapText="1"/>
    </xf>
    <xf numFmtId="166" fontId="8" fillId="7" borderId="0" xfId="0" applyNumberFormat="1" applyFont="1" applyFill="1"/>
    <xf numFmtId="165" fontId="8" fillId="7" borderId="0" xfId="0" applyNumberFormat="1" applyFont="1" applyFill="1"/>
    <xf numFmtId="0" fontId="26" fillId="7" borderId="0" xfId="0" applyFont="1" applyFill="1"/>
    <xf numFmtId="0" fontId="8" fillId="0" borderId="14" xfId="0" applyFont="1" applyBorder="1" applyAlignment="1" applyProtection="1">
      <alignment horizontal="left" vertical="top" wrapText="1"/>
      <protection locked="0"/>
    </xf>
    <xf numFmtId="0" fontId="8" fillId="0" borderId="15" xfId="0" applyFont="1" applyBorder="1" applyAlignment="1" applyProtection="1">
      <alignment horizontal="left" vertical="top" wrapText="1"/>
      <protection locked="0"/>
    </xf>
    <xf numFmtId="0" fontId="9" fillId="2" borderId="4" xfId="0" applyFont="1" applyFill="1" applyBorder="1" applyAlignment="1" applyProtection="1">
      <alignment horizontal="left" vertical="center" wrapText="1"/>
      <protection locked="0"/>
    </xf>
    <xf numFmtId="0" fontId="9" fillId="2" borderId="5" xfId="0" applyFont="1" applyFill="1" applyBorder="1" applyAlignment="1" applyProtection="1">
      <alignment horizontal="left" vertical="center" wrapText="1"/>
      <protection locked="0"/>
    </xf>
    <xf numFmtId="0" fontId="9" fillId="2" borderId="6" xfId="0" applyFont="1" applyFill="1" applyBorder="1" applyAlignment="1" applyProtection="1">
      <alignment horizontal="left" vertical="center" wrapText="1"/>
      <protection locked="0"/>
    </xf>
    <xf numFmtId="0" fontId="13" fillId="3" borderId="16"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left" vertical="center" wrapText="1"/>
      <protection locked="0"/>
    </xf>
    <xf numFmtId="0" fontId="13" fillId="3" borderId="18" xfId="0" applyFont="1" applyFill="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0" borderId="12" xfId="0" applyFont="1" applyBorder="1" applyAlignment="1" applyProtection="1">
      <alignment horizontal="left" vertical="center" wrapText="1"/>
      <protection locked="0"/>
    </xf>
    <xf numFmtId="0" fontId="13" fillId="4" borderId="19" xfId="0" applyFont="1" applyFill="1" applyBorder="1" applyAlignment="1" applyProtection="1">
      <alignment horizontal="left" vertical="center" wrapText="1"/>
      <protection locked="0"/>
    </xf>
    <xf numFmtId="0" fontId="13" fillId="4" borderId="20" xfId="0" applyFont="1" applyFill="1" applyBorder="1" applyAlignment="1" applyProtection="1">
      <alignment horizontal="left" vertical="center" wrapText="1"/>
      <protection locked="0"/>
    </xf>
    <xf numFmtId="0" fontId="13" fillId="4" borderId="21" xfId="0" applyFont="1" applyFill="1" applyBorder="1" applyAlignment="1" applyProtection="1">
      <alignment horizontal="left" vertical="center" wrapText="1"/>
      <protection locked="0"/>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49" fontId="8" fillId="0" borderId="8" xfId="0" quotePrefix="1" applyNumberFormat="1" applyFont="1" applyBorder="1" applyAlignment="1" applyProtection="1">
      <alignment horizontal="left" vertical="center" wrapText="1"/>
      <protection locked="0"/>
    </xf>
    <xf numFmtId="49" fontId="8" fillId="0" borderId="9" xfId="0" quotePrefix="1" applyNumberFormat="1" applyFont="1" applyBorder="1" applyAlignment="1" applyProtection="1">
      <alignment horizontal="left" vertical="center" wrapText="1"/>
      <protection locked="0"/>
    </xf>
    <xf numFmtId="49" fontId="8" fillId="0" borderId="11" xfId="0" quotePrefix="1" applyNumberFormat="1" applyFont="1" applyBorder="1" applyAlignment="1" applyProtection="1">
      <alignment horizontal="left" vertical="center" wrapText="1"/>
      <protection locked="0"/>
    </xf>
    <xf numFmtId="49" fontId="8" fillId="0" borderId="12" xfId="0" quotePrefix="1" applyNumberFormat="1" applyFont="1" applyBorder="1" applyAlignment="1" applyProtection="1">
      <alignment horizontal="left" vertical="center" wrapText="1"/>
      <protection locked="0"/>
    </xf>
    <xf numFmtId="0" fontId="8" fillId="0" borderId="11" xfId="0" applyFont="1" applyBorder="1" applyAlignment="1" applyProtection="1">
      <alignment horizontal="left" vertical="top" wrapText="1"/>
      <protection locked="0"/>
    </xf>
    <xf numFmtId="0" fontId="8" fillId="0" borderId="12" xfId="0" applyFont="1" applyBorder="1" applyAlignment="1" applyProtection="1">
      <alignment horizontal="left" vertical="top" wrapText="1"/>
      <protection locked="0"/>
    </xf>
    <xf numFmtId="0" fontId="11" fillId="5" borderId="13" xfId="0" applyFont="1" applyFill="1" applyBorder="1" applyAlignment="1">
      <alignment horizontal="left" vertical="center"/>
    </xf>
    <xf numFmtId="0" fontId="11" fillId="5" borderId="14" xfId="0" applyFont="1" applyFill="1" applyBorder="1" applyAlignment="1">
      <alignment horizontal="left" vertical="center"/>
    </xf>
    <xf numFmtId="0" fontId="11" fillId="5" borderId="15" xfId="0" applyFont="1" applyFill="1" applyBorder="1" applyAlignment="1">
      <alignment horizontal="left" vertical="center"/>
    </xf>
    <xf numFmtId="0" fontId="8" fillId="6" borderId="4" xfId="0" applyFont="1" applyFill="1" applyBorder="1" applyAlignment="1">
      <alignment horizontal="center"/>
    </xf>
    <xf numFmtId="0" fontId="8" fillId="6" borderId="24" xfId="0" applyFont="1" applyFill="1" applyBorder="1" applyAlignment="1">
      <alignment horizontal="center"/>
    </xf>
    <xf numFmtId="0" fontId="15" fillId="8" borderId="25" xfId="0" applyFont="1" applyFill="1" applyBorder="1" applyAlignment="1">
      <alignment horizontal="center" wrapText="1"/>
    </xf>
    <xf numFmtId="0" fontId="15" fillId="8" borderId="26" xfId="0" applyFont="1" applyFill="1" applyBorder="1" applyAlignment="1">
      <alignment horizontal="center" wrapText="1"/>
    </xf>
    <xf numFmtId="0" fontId="15" fillId="8" borderId="5" xfId="0" applyFont="1" applyFill="1" applyBorder="1" applyAlignment="1">
      <alignment horizontal="center" wrapText="1"/>
    </xf>
    <xf numFmtId="0" fontId="18" fillId="9" borderId="27" xfId="0" applyFont="1" applyFill="1" applyBorder="1" applyAlignment="1">
      <alignment horizontal="center" vertical="center" wrapText="1" readingOrder="1"/>
    </xf>
    <xf numFmtId="0" fontId="12" fillId="6" borderId="28" xfId="0" applyFont="1" applyFill="1" applyBorder="1" applyAlignment="1">
      <alignment horizontal="center" vertical="top" wrapText="1"/>
    </xf>
    <xf numFmtId="0" fontId="11" fillId="5" borderId="10" xfId="0" applyFont="1" applyFill="1" applyBorder="1" applyAlignment="1">
      <alignment horizontal="left" vertical="center"/>
    </xf>
    <xf numFmtId="0" fontId="11" fillId="5" borderId="11" xfId="0" applyFont="1" applyFill="1" applyBorder="1" applyAlignment="1">
      <alignment horizontal="left" vertical="center"/>
    </xf>
    <xf numFmtId="0" fontId="11" fillId="5" borderId="12" xfId="0" applyFont="1" applyFill="1" applyBorder="1" applyAlignment="1">
      <alignment horizontal="left" vertical="center"/>
    </xf>
    <xf numFmtId="0" fontId="15" fillId="6" borderId="10" xfId="0" applyFont="1" applyFill="1" applyBorder="1" applyAlignment="1">
      <alignment horizontal="center" vertical="center" wrapText="1" readingOrder="1"/>
    </xf>
    <xf numFmtId="0" fontId="15" fillId="6" borderId="11" xfId="0" applyFont="1" applyFill="1" applyBorder="1" applyAlignment="1">
      <alignment horizontal="center" vertical="center" wrapText="1" readingOrder="1"/>
    </xf>
    <xf numFmtId="0" fontId="15" fillId="6" borderId="12" xfId="0" applyFont="1" applyFill="1" applyBorder="1" applyAlignment="1">
      <alignment horizontal="center" vertical="center" wrapText="1" readingOrder="1"/>
    </xf>
    <xf numFmtId="39" fontId="16" fillId="7" borderId="19" xfId="1" applyNumberFormat="1" applyFont="1" applyFill="1" applyBorder="1" applyAlignment="1" applyProtection="1">
      <alignment horizontal="center" vertical="center" wrapText="1" readingOrder="1"/>
      <protection locked="0"/>
    </xf>
    <xf numFmtId="39" fontId="16" fillId="7" borderId="22" xfId="1" applyNumberFormat="1" applyFont="1" applyFill="1" applyBorder="1" applyAlignment="1" applyProtection="1">
      <alignment horizontal="center" vertical="center" wrapText="1" readingOrder="1"/>
      <protection locked="0"/>
    </xf>
    <xf numFmtId="39" fontId="16" fillId="7" borderId="23" xfId="1" applyNumberFormat="1" applyFont="1" applyFill="1" applyBorder="1" applyAlignment="1" applyProtection="1">
      <alignment horizontal="center" vertical="center" wrapText="1" readingOrder="1"/>
      <protection locked="0"/>
    </xf>
    <xf numFmtId="39" fontId="16" fillId="7" borderId="20" xfId="1" applyNumberFormat="1" applyFont="1" applyFill="1" applyBorder="1" applyAlignment="1" applyProtection="1">
      <alignment horizontal="center" vertical="center" wrapText="1" readingOrder="1"/>
      <protection locked="0"/>
    </xf>
    <xf numFmtId="10" fontId="16" fillId="7" borderId="23" xfId="2" applyNumberFormat="1" applyFont="1" applyFill="1" applyBorder="1" applyAlignment="1" applyProtection="1">
      <alignment horizontal="center" vertical="center" wrapText="1" readingOrder="1"/>
    </xf>
    <xf numFmtId="10" fontId="16" fillId="7" borderId="21" xfId="2" applyNumberFormat="1" applyFont="1" applyFill="1" applyBorder="1" applyAlignment="1" applyProtection="1">
      <alignment horizontal="center" vertical="center" wrapText="1" readingOrder="1"/>
    </xf>
    <xf numFmtId="0" fontId="21" fillId="10" borderId="10" xfId="0" applyFont="1" applyFill="1" applyBorder="1" applyAlignment="1">
      <alignment horizontal="left" vertical="center"/>
    </xf>
    <xf numFmtId="0" fontId="21" fillId="10" borderId="11" xfId="0" applyFont="1" applyFill="1" applyBorder="1" applyAlignment="1">
      <alignment horizontal="left" vertical="center"/>
    </xf>
    <xf numFmtId="0" fontId="21" fillId="10" borderId="12" xfId="0" applyFont="1" applyFill="1" applyBorder="1" applyAlignment="1">
      <alignment horizontal="left" vertical="center"/>
    </xf>
    <xf numFmtId="0" fontId="11" fillId="5" borderId="7" xfId="0" applyFont="1" applyFill="1" applyBorder="1" applyAlignment="1">
      <alignment horizontal="left" vertical="center"/>
    </xf>
    <xf numFmtId="0" fontId="11" fillId="5" borderId="8" xfId="0" applyFont="1" applyFill="1" applyBorder="1" applyAlignment="1">
      <alignment horizontal="left" vertical="center"/>
    </xf>
    <xf numFmtId="0" fontId="11" fillId="5" borderId="9" xfId="0" applyFont="1" applyFill="1" applyBorder="1" applyAlignment="1">
      <alignment horizontal="left" vertical="center"/>
    </xf>
    <xf numFmtId="0" fontId="16" fillId="0" borderId="11" xfId="0" applyFont="1" applyBorder="1" applyAlignment="1">
      <alignment horizontal="justify" vertical="center" wrapText="1"/>
    </xf>
    <xf numFmtId="0" fontId="16" fillId="0" borderId="12" xfId="0" applyFont="1" applyBorder="1" applyAlignment="1">
      <alignment horizontal="justify" vertical="center" wrapText="1"/>
    </xf>
    <xf numFmtId="0" fontId="16" fillId="7" borderId="11" xfId="0" applyFont="1" applyFill="1" applyBorder="1" applyAlignment="1">
      <alignment horizontal="justify" vertical="center" wrapText="1"/>
    </xf>
    <xf numFmtId="0" fontId="16" fillId="7" borderId="12" xfId="0" applyFont="1" applyFill="1" applyBorder="1" applyAlignment="1">
      <alignment horizontal="justify" vertical="center" wrapText="1"/>
    </xf>
    <xf numFmtId="39" fontId="16" fillId="7" borderId="10" xfId="1" applyNumberFormat="1" applyFont="1" applyFill="1" applyBorder="1" applyAlignment="1" applyProtection="1">
      <alignment horizontal="center" vertical="center" wrapText="1" readingOrder="1"/>
      <protection locked="0"/>
    </xf>
    <xf numFmtId="39" fontId="16" fillId="7" borderId="11" xfId="1" applyNumberFormat="1" applyFont="1" applyFill="1" applyBorder="1" applyAlignment="1" applyProtection="1">
      <alignment horizontal="center" vertical="center" wrapText="1" readingOrder="1"/>
      <protection locked="0"/>
    </xf>
    <xf numFmtId="10" fontId="16" fillId="7" borderId="11" xfId="2" applyNumberFormat="1" applyFont="1" applyFill="1" applyBorder="1" applyAlignment="1" applyProtection="1">
      <alignment horizontal="center" vertical="center" wrapText="1" readingOrder="1"/>
    </xf>
    <xf numFmtId="10" fontId="16" fillId="7" borderId="12" xfId="2" applyNumberFormat="1" applyFont="1" applyFill="1" applyBorder="1" applyAlignment="1" applyProtection="1">
      <alignment horizontal="center" vertical="center" wrapText="1" readingOrder="1"/>
    </xf>
    <xf numFmtId="0" fontId="8" fillId="6" borderId="33" xfId="0" applyFont="1" applyFill="1" applyBorder="1" applyAlignment="1">
      <alignment horizontal="center"/>
    </xf>
    <xf numFmtId="0" fontId="8" fillId="6" borderId="34" xfId="0" applyFont="1" applyFill="1" applyBorder="1" applyAlignment="1">
      <alignment horizontal="center"/>
    </xf>
    <xf numFmtId="0" fontId="15" fillId="8" borderId="35" xfId="0" applyFont="1" applyFill="1" applyBorder="1" applyAlignment="1">
      <alignment horizontal="center" wrapText="1"/>
    </xf>
    <xf numFmtId="0" fontId="15" fillId="8" borderId="36" xfId="0" applyFont="1" applyFill="1" applyBorder="1" applyAlignment="1">
      <alignment horizontal="center" wrapText="1"/>
    </xf>
    <xf numFmtId="0" fontId="15" fillId="8" borderId="2" xfId="0" applyFont="1" applyFill="1" applyBorder="1" applyAlignment="1">
      <alignment horizontal="center" wrapText="1"/>
    </xf>
    <xf numFmtId="0" fontId="18" fillId="9" borderId="34" xfId="0" applyFont="1" applyFill="1" applyBorder="1" applyAlignment="1">
      <alignment horizontal="center" vertical="center" wrapText="1" readingOrder="1"/>
    </xf>
    <xf numFmtId="0" fontId="12" fillId="6" borderId="37" xfId="0" applyFont="1" applyFill="1" applyBorder="1" applyAlignment="1">
      <alignment horizontal="center" vertical="top" wrapText="1"/>
    </xf>
    <xf numFmtId="3" fontId="8" fillId="0" borderId="11" xfId="0" applyNumberFormat="1" applyFont="1" applyBorder="1" applyAlignment="1" applyProtection="1">
      <alignment horizontal="left" vertical="center" wrapText="1"/>
      <protection locked="0"/>
    </xf>
    <xf numFmtId="0" fontId="10" fillId="7" borderId="10" xfId="0" applyFont="1" applyFill="1" applyBorder="1" applyAlignment="1">
      <alignment horizontal="center" vertical="center" wrapText="1"/>
    </xf>
    <xf numFmtId="0" fontId="10" fillId="7" borderId="11" xfId="0" applyFont="1" applyFill="1" applyBorder="1" applyAlignment="1">
      <alignment horizontal="center" vertical="center" wrapText="1"/>
    </xf>
    <xf numFmtId="0" fontId="10" fillId="7" borderId="12" xfId="0" applyFont="1" applyFill="1" applyBorder="1" applyAlignment="1">
      <alignment horizontal="center" vertical="center" wrapText="1"/>
    </xf>
    <xf numFmtId="0" fontId="21" fillId="10" borderId="7" xfId="0" applyFont="1" applyFill="1" applyBorder="1" applyAlignment="1">
      <alignment horizontal="left" vertical="center"/>
    </xf>
    <xf numFmtId="0" fontId="21" fillId="10" borderId="8" xfId="0" applyFont="1" applyFill="1" applyBorder="1" applyAlignment="1">
      <alignment horizontal="left" vertical="center"/>
    </xf>
    <xf numFmtId="0" fontId="21" fillId="10" borderId="9" xfId="0" applyFont="1" applyFill="1" applyBorder="1" applyAlignment="1">
      <alignment horizontal="left" vertical="center"/>
    </xf>
    <xf numFmtId="0" fontId="8" fillId="0" borderId="11" xfId="0" applyFont="1" applyBorder="1" applyAlignment="1">
      <alignment horizontal="justify" vertical="center" wrapText="1"/>
    </xf>
    <xf numFmtId="0" fontId="8" fillId="0" borderId="12" xfId="0" applyFont="1" applyBorder="1" applyAlignment="1">
      <alignment horizontal="justify" vertical="center" wrapText="1"/>
    </xf>
    <xf numFmtId="0" fontId="13" fillId="3" borderId="19" xfId="0" applyFont="1" applyFill="1" applyBorder="1" applyAlignment="1" applyProtection="1">
      <alignment horizontal="left" vertical="center" wrapText="1"/>
      <protection locked="0"/>
    </xf>
    <xf numFmtId="0" fontId="13" fillId="3" borderId="20" xfId="0" applyFont="1" applyFill="1" applyBorder="1" applyAlignment="1" applyProtection="1">
      <alignment horizontal="left" vertical="center" wrapText="1"/>
      <protection locked="0"/>
    </xf>
    <xf numFmtId="0" fontId="13" fillId="3" borderId="21" xfId="0" applyFont="1" applyFill="1" applyBorder="1" applyAlignment="1" applyProtection="1">
      <alignment horizontal="left" vertical="center" wrapText="1"/>
      <protection locked="0"/>
    </xf>
    <xf numFmtId="0" fontId="8" fillId="0" borderId="11" xfId="0" applyFont="1" applyBorder="1" applyAlignment="1" applyProtection="1">
      <alignment horizontal="justify" vertical="center" wrapText="1"/>
      <protection locked="0"/>
    </xf>
    <xf numFmtId="0" fontId="8" fillId="0" borderId="12" xfId="0" applyFont="1" applyBorder="1" applyAlignment="1" applyProtection="1">
      <alignment horizontal="justify" vertical="center" wrapText="1"/>
      <protection locked="0"/>
    </xf>
    <xf numFmtId="0" fontId="15" fillId="8" borderId="35" xfId="0" applyFont="1" applyFill="1" applyBorder="1" applyAlignment="1">
      <alignment wrapText="1"/>
    </xf>
    <xf numFmtId="0" fontId="15" fillId="8" borderId="36" xfId="0" applyFont="1" applyFill="1" applyBorder="1" applyAlignment="1">
      <alignment wrapText="1"/>
    </xf>
    <xf numFmtId="0" fontId="15" fillId="8" borderId="2" xfId="0" applyFont="1" applyFill="1" applyBorder="1" applyAlignment="1">
      <alignment wrapText="1"/>
    </xf>
    <xf numFmtId="0" fontId="12" fillId="6" borderId="37" xfId="0" applyFont="1" applyFill="1" applyBorder="1" applyAlignment="1">
      <alignment vertical="top" wrapText="1"/>
    </xf>
    <xf numFmtId="39" fontId="12" fillId="7" borderId="10" xfId="1" applyNumberFormat="1" applyFont="1" applyFill="1" applyBorder="1" applyAlignment="1" applyProtection="1">
      <alignment horizontal="center" vertical="center" wrapText="1" readingOrder="1"/>
      <protection locked="0"/>
    </xf>
    <xf numFmtId="39" fontId="12" fillId="7" borderId="11" xfId="1" applyNumberFormat="1" applyFont="1" applyFill="1" applyBorder="1" applyAlignment="1" applyProtection="1">
      <alignment horizontal="center" vertical="center" wrapText="1" readingOrder="1"/>
      <protection locked="0"/>
    </xf>
    <xf numFmtId="10" fontId="12" fillId="7" borderId="11" xfId="2" applyNumberFormat="1" applyFont="1" applyFill="1" applyBorder="1" applyAlignment="1" applyProtection="1">
      <alignment horizontal="center" vertical="center" wrapText="1" readingOrder="1"/>
    </xf>
    <xf numFmtId="10" fontId="12" fillId="7" borderId="12" xfId="2" applyNumberFormat="1" applyFont="1" applyFill="1" applyBorder="1" applyAlignment="1" applyProtection="1">
      <alignment horizontal="center" vertical="center" wrapText="1" readingOrder="1"/>
    </xf>
    <xf numFmtId="0" fontId="8" fillId="6" borderId="33" xfId="0" applyFont="1" applyFill="1" applyBorder="1" applyAlignment="1">
      <alignment horizontal="center" vertical="center"/>
    </xf>
    <xf numFmtId="0" fontId="8" fillId="6" borderId="34" xfId="0" applyFont="1" applyFill="1" applyBorder="1" applyAlignment="1">
      <alignment horizontal="center" vertical="center"/>
    </xf>
    <xf numFmtId="0" fontId="12" fillId="6" borderId="37" xfId="0" applyFont="1" applyFill="1" applyBorder="1" applyAlignment="1">
      <alignment vertical="center" wrapText="1"/>
    </xf>
    <xf numFmtId="0" fontId="24" fillId="7" borderId="42" xfId="0" applyFont="1" applyFill="1" applyBorder="1" applyAlignment="1" applyProtection="1">
      <alignment horizontal="center"/>
      <protection locked="0"/>
    </xf>
    <xf numFmtId="0" fontId="24" fillId="7" borderId="43" xfId="0" applyFont="1" applyFill="1" applyBorder="1" applyAlignment="1" applyProtection="1">
      <alignment horizontal="center"/>
      <protection locked="0"/>
    </xf>
    <xf numFmtId="0" fontId="24" fillId="7" borderId="44" xfId="0" applyFont="1" applyFill="1" applyBorder="1" applyAlignment="1" applyProtection="1">
      <alignment horizontal="center"/>
      <protection locked="0"/>
    </xf>
    <xf numFmtId="0" fontId="12" fillId="7" borderId="40" xfId="0" applyFont="1" applyFill="1" applyBorder="1" applyAlignment="1" applyProtection="1">
      <alignment horizontal="center"/>
      <protection locked="0"/>
    </xf>
    <xf numFmtId="0" fontId="12" fillId="7" borderId="0" xfId="0" applyFont="1" applyFill="1" applyAlignment="1" applyProtection="1">
      <alignment horizontal="center"/>
      <protection locked="0"/>
    </xf>
    <xf numFmtId="0" fontId="12" fillId="7" borderId="41" xfId="0" applyFont="1" applyFill="1" applyBorder="1" applyAlignment="1" applyProtection="1">
      <alignment horizontal="center"/>
      <protection locked="0"/>
    </xf>
    <xf numFmtId="0" fontId="23" fillId="0" borderId="11" xfId="0" applyFont="1" applyBorder="1" applyAlignment="1">
      <alignment horizontal="justify" vertical="center" wrapText="1"/>
    </xf>
    <xf numFmtId="0" fontId="23" fillId="0" borderId="12" xfId="0" applyFont="1" applyBorder="1" applyAlignment="1">
      <alignment horizontal="justify" vertical="center" wrapText="1"/>
    </xf>
    <xf numFmtId="0" fontId="24" fillId="7" borderId="40" xfId="0" applyFont="1" applyFill="1" applyBorder="1" applyAlignment="1" applyProtection="1">
      <alignment horizontal="center"/>
      <protection locked="0"/>
    </xf>
    <xf numFmtId="0" fontId="24" fillId="7" borderId="0" xfId="0" applyFont="1" applyFill="1" applyAlignment="1" applyProtection="1">
      <alignment horizontal="center"/>
      <protection locked="0"/>
    </xf>
    <xf numFmtId="0" fontId="24" fillId="7" borderId="41" xfId="0" applyFont="1" applyFill="1" applyBorder="1" applyAlignment="1" applyProtection="1">
      <alignment horizontal="center"/>
      <protection locked="0"/>
    </xf>
    <xf numFmtId="0" fontId="29" fillId="10" borderId="48" xfId="0" applyFont="1" applyFill="1" applyBorder="1" applyAlignment="1">
      <alignment vertical="center" wrapText="1"/>
    </xf>
    <xf numFmtId="0" fontId="29" fillId="10" borderId="49" xfId="0" applyFont="1" applyFill="1" applyBorder="1" applyAlignment="1">
      <alignment vertical="center" wrapText="1"/>
    </xf>
    <xf numFmtId="0" fontId="29" fillId="10" borderId="55" xfId="0" applyFont="1" applyFill="1" applyBorder="1" applyAlignment="1">
      <alignment horizontal="center" vertical="center" wrapText="1"/>
    </xf>
    <xf numFmtId="0" fontId="29" fillId="10" borderId="56" xfId="0" applyFont="1" applyFill="1" applyBorder="1" applyAlignment="1">
      <alignment horizontal="center" vertical="center" wrapText="1"/>
    </xf>
    <xf numFmtId="0" fontId="29" fillId="5" borderId="57" xfId="0" applyFont="1" applyFill="1" applyBorder="1" applyAlignment="1">
      <alignment horizontal="center" vertical="center" wrapText="1"/>
    </xf>
    <xf numFmtId="0" fontId="29" fillId="5" borderId="52" xfId="0" applyFont="1" applyFill="1" applyBorder="1" applyAlignment="1">
      <alignment horizontal="center" vertical="center" wrapText="1"/>
    </xf>
    <xf numFmtId="0" fontId="29" fillId="5" borderId="51" xfId="0" applyFont="1" applyFill="1" applyBorder="1" applyAlignment="1">
      <alignment horizontal="center" vertical="center" wrapText="1"/>
    </xf>
    <xf numFmtId="0" fontId="29" fillId="10" borderId="59" xfId="0" applyFont="1" applyFill="1" applyBorder="1" applyAlignment="1">
      <alignment vertical="center" wrapText="1"/>
    </xf>
    <xf numFmtId="0" fontId="29" fillId="10" borderId="60" xfId="0" applyFont="1" applyFill="1" applyBorder="1" applyAlignment="1">
      <alignment horizontal="center" vertical="center" wrapText="1"/>
    </xf>
    <xf numFmtId="0" fontId="29" fillId="10" borderId="58" xfId="0" applyFont="1" applyFill="1" applyBorder="1" applyAlignment="1">
      <alignment horizontal="center" vertical="center" wrapText="1"/>
    </xf>
    <xf numFmtId="0" fontId="33" fillId="13" borderId="17" xfId="0" applyFont="1" applyFill="1" applyBorder="1" applyAlignment="1">
      <alignment horizontal="center"/>
    </xf>
  </cellXfs>
  <cellStyles count="3">
    <cellStyle name="Millares" xfId="1" builtinId="3"/>
    <cellStyle name="Normal" xfId="0" builtinId="0"/>
    <cellStyle name="Porcentaje" xfId="2" builtinId="5"/>
  </cellStyles>
  <dxfs count="450">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rgb="FFA6A6A6"/>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rgb="FFA6A6A6"/>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none">
          <fgColor indexed="64"/>
          <bgColor theme="6" tint="0.79998168889431442"/>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rgb="FFFF000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none">
          <fgColor indexed="64"/>
          <bgColor theme="6" tint="0.79998168889431442"/>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rgb="FFFF000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none">
          <fgColor indexed="64"/>
          <bgColor theme="6" tint="0.79998168889431442"/>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rgb="FFFF000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none">
          <fgColor indexed="64"/>
          <bgColor auto="1"/>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rgb="FFA6A6A6"/>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8" formatCode="[$-10409]#,##0.0;\-#,##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8" formatCode="[$-10409]#,##0.0;\-#,##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8" formatCode="[$-10409]#,##0.0;\-#,##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8" formatCode="[$-10409]#,##0.0;\-#,##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8" formatCode="[$-10409]#,##0.0;\-#,##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rgb="FFA6A6A6"/>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4" formatCode="0.00%"/>
      <fill>
        <patternFill patternType="none">
          <fgColor indexed="64"/>
          <bgColor theme="6" tint="0.79998168889431442"/>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rgb="FFFF000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none">
          <fgColor indexed="64"/>
          <bgColor theme="6" tint="0.79998168889431442"/>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rgb="FFFF000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rgb="FFA6A6A6"/>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rgb="FF000000"/>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none">
          <fgColor indexed="64"/>
          <bgColor theme="6" tint="0.79998168889431442"/>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rgb="FFFF000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4" formatCode="[$-10409]#,##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none">
          <fgColor indexed="64"/>
          <bgColor auto="1"/>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7" formatCode="#,##0_ ;\-#,##0\ "/>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scheme val="none"/>
      </font>
      <numFmt numFmtId="0" formatCode="General"/>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none"/>
      </font>
      <numFmt numFmtId="14" formatCode="0.00%"/>
      <fill>
        <patternFill patternType="none">
          <fgColor indexed="64"/>
          <bgColor indexed="65"/>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rgb="FFA6A6A6"/>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Calibri"/>
        <scheme val="none"/>
      </font>
      <numFmt numFmtId="166" formatCode="[$-10409]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none">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5" formatCode="[$-10409]#,##0.00;\-#,##0.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theme="1"/>
        <name val="Calibri"/>
        <family val="2"/>
        <scheme val="none"/>
      </font>
      <numFmt numFmtId="164" formatCode="[$-10409]#,##0;\-#,##0"/>
      <fill>
        <patternFill patternType="solid">
          <fgColor indexed="64"/>
          <bgColor theme="0"/>
        </patternFill>
      </fill>
      <alignment horizontal="center" vertical="center" textRotation="0" wrapText="1" indent="0" justifyLastLine="0" shrinkToFit="0" readingOrder="1"/>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Calibri"/>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bottom style="thin">
          <color indexed="64"/>
        </bottom>
      </border>
    </dxf>
    <dxf>
      <font>
        <b/>
        <i val="0"/>
        <strike val="0"/>
        <condense val="0"/>
        <extend val="0"/>
        <outline val="0"/>
        <shadow val="0"/>
        <u val="none"/>
        <vertAlign val="baseline"/>
        <sz val="12"/>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indexed="64"/>
        </left>
        <right style="thin">
          <color indexed="64"/>
        </right>
        <top/>
        <bottom/>
        <vertical style="thin">
          <color indexed="64"/>
        </vertical>
        <horizontal style="thin">
          <color indexed="64"/>
        </horizontal>
      </border>
      <protection locked="1" hidden="0"/>
    </dxf>
  </dxfs>
  <tableStyles count="1" defaultTableStyle="TableStyleMedium2" defaultPivotStyle="PivotStyleLight16">
    <tableStyle name="Estilo de tabla 1" pivot="0" count="0" xr9:uid="{95C2DCA6-2FFE-4F62-A21B-EE20A39C2A06}"/>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5FFDF70-0426-43BD-A4A1-CB5B6E4663BF}" name="Tabla172412" displayName="Tabla172412" ref="A18:J19" totalsRowShown="0" headerRowDxfId="449" dataDxfId="447" headerRowBorderDxfId="448" tableBorderDxfId="446" totalsRowBorderDxfId="445">
  <tableColumns count="10">
    <tableColumn id="1" xr3:uid="{5F058E92-B922-48F6-B3EC-CD76659A6DB2}" name="Producto" dataDxfId="444"/>
    <tableColumn id="2" xr3:uid="{A6C718A8-D593-4E03-B989-2252C8ED81B0}" name="Indicador asociado" dataDxfId="443"/>
    <tableColumn id="3" xr3:uid="{BCED2BC0-74A1-4B6B-A78D-C07A8556C2C6}" name="Física (A)" dataDxfId="442"/>
    <tableColumn id="4" xr3:uid="{58753BEF-0D89-48A0-A10D-699F084A3885}" name="Financiera (B)" dataDxfId="441"/>
    <tableColumn id="9" xr3:uid="{FE8FAC33-9228-445B-9AFC-D3B42F40CEEA}" name="Física (C)" dataDxfId="440"/>
    <tableColumn id="10" xr3:uid="{D4FE9845-C358-4342-AE50-138863D9FF06}" name="Financiera (D)" dataDxfId="439"/>
    <tableColumn id="5" xr3:uid="{165A6094-6DB5-43AA-8A09-22335F6C5B4C}" name="Física (E)" dataDxfId="438"/>
    <tableColumn id="6" xr3:uid="{E4124179-7CF4-4D29-8510-946624249E02}" name="Financiera  (F)" dataDxfId="437"/>
    <tableColumn id="7" xr3:uid="{BE8960E8-1CBE-43FE-B1DD-1B74FECFE081}" name="Física (%)_x000a_ G=E/C" dataDxfId="436">
      <calculatedColumnFormula>+Tabla172412[[#This Row],[Física (E)]]/Tabla172412[[#This Row],[Física (C)]]</calculatedColumnFormula>
    </tableColumn>
    <tableColumn id="8" xr3:uid="{C07246A8-3133-4367-8EB0-99B0CE7348D9}" name="Financiero (%) _x000a_H=F/D" dataDxfId="435">
      <calculatedColumnFormula>+Tabla172412[[#This Row],[Financiera  (F)]]/Tabla172412[[#This Row],[Financiera (D)]]</calculatedColumnFormula>
    </tableColumn>
  </tableColumns>
  <tableStyleInfo name="Estilo de tabla 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2BAA4F8-3DCF-485D-AE08-21EE26EA973F}" name="Tabla13459101112131011" displayName="Tabla13459101112131011" ref="A80:J81" totalsRowShown="0" headerRowDxfId="314" dataDxfId="312" headerRowBorderDxfId="313" tableBorderDxfId="311" totalsRowBorderDxfId="310">
  <tableColumns count="10">
    <tableColumn id="1" xr3:uid="{FD5A0129-9C4C-4BD8-A650-A0DD0F0E7B52}" name="Producto" dataDxfId="309"/>
    <tableColumn id="2" xr3:uid="{1C0822A2-B522-418D-9986-72446BEEF72C}" name="Indicador asociado" dataDxfId="308"/>
    <tableColumn id="3" xr3:uid="{8F487408-546D-466E-A4E2-693FECA9E9C8}" name="Física (A)" dataDxfId="307"/>
    <tableColumn id="4" xr3:uid="{570AE16D-F425-46E9-BB3A-931A03BB124D}" name="Financiera (B)" dataDxfId="306">
      <calculatedColumnFormula>+C77</calculatedColumnFormula>
    </tableColumn>
    <tableColumn id="9" xr3:uid="{07B38421-5518-470C-82E0-5C7A39727CA2}" name="Física (C)" dataDxfId="305"/>
    <tableColumn id="10" xr3:uid="{13C82348-174D-42BE-80B8-EBABA3F08E5A}" name="Financiera (D)" dataDxfId="304"/>
    <tableColumn id="5" xr3:uid="{2FCE4151-1D9C-4ECB-BA45-863E0401E144}" name="Física (E)" dataDxfId="303"/>
    <tableColumn id="6" xr3:uid="{116B8D21-E4F6-47E8-8055-B6B81CFCA224}" name="Financiera  (F)" dataDxfId="302"/>
    <tableColumn id="7" xr3:uid="{B51F34E0-B480-4794-964E-D699C78422DE}" name="Física (%)_x000a_ G=E/C" dataDxfId="301"/>
    <tableColumn id="8" xr3:uid="{1A46C225-2689-4938-83E2-1E1F510E20FD}" name="Financiero (%) _x000a_H=F/D" dataDxfId="300">
      <calculatedColumnFormula>+Tabla13459101112131011[[#This Row],[Financiera  (F)]]/Tabla13459101112131011[[#This Row],[Financiera (D)]]</calculatedColumnFormula>
    </tableColumn>
  </tableColumns>
  <tableStyleInfo name="Estilo de tabla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B3DFA80-5C5A-467A-B378-DAA1B16F5F6C}" name="Tabla13458" displayName="Tabla13458" ref="A51:J52" totalsRowShown="0" headerRowDxfId="299" dataDxfId="297" headerRowBorderDxfId="298" tableBorderDxfId="296" totalsRowBorderDxfId="295">
  <tableColumns count="10">
    <tableColumn id="1" xr3:uid="{5D291296-F720-4DAD-8395-1158AFD6CF36}" name="Producto" dataDxfId="294"/>
    <tableColumn id="2" xr3:uid="{5091535C-7419-46CE-B15E-AAE0B4FC4AB4}" name="Indicador asociado" dataDxfId="293"/>
    <tableColumn id="3" xr3:uid="{6E1930E4-9940-4B51-AA5C-A2FF7F96EB52}" name="Física (A)" dataDxfId="292"/>
    <tableColumn id="4" xr3:uid="{D80C683E-893B-4DD0-A440-D5044CE67315}" name="Financiera (B)" dataDxfId="291">
      <calculatedColumnFormula>+C48</calculatedColumnFormula>
    </tableColumn>
    <tableColumn id="9" xr3:uid="{6969A5B5-6FFF-47CF-B03D-0228E6E537F3}" name="Física (C)" dataDxfId="290"/>
    <tableColumn id="10" xr3:uid="{7709A716-36B9-440E-A418-B152B9977169}" name="Financiera (D)" dataDxfId="289"/>
    <tableColumn id="5" xr3:uid="{CB522672-A828-4FDB-81DE-2B18B5DE0DE9}" name="Física (E)" dataDxfId="288"/>
    <tableColumn id="6" xr3:uid="{892D4185-6BE4-49F4-967A-E24AA1550545}" name="Financiera  (F)" dataDxfId="287"/>
    <tableColumn id="7" xr3:uid="{9362E6E1-6E27-49C7-9760-74F4913F4A95}" name="Física (%)_x000a_ G=E/C" dataDxfId="286">
      <calculatedColumnFormula>+Tabla13458[[#This Row],[Física (E)]]/Tabla13458[[#This Row],[Física (C)]]</calculatedColumnFormula>
    </tableColumn>
    <tableColumn id="8" xr3:uid="{A321D7D4-5AE9-4A8D-948E-FA8F9B9A61B9}" name="Financiero (%) _x000a_H=F/D" dataDxfId="285">
      <calculatedColumnFormula>+Tabla13458[[#This Row],[Financiera  (F)]]/Tabla13458[[#This Row],[Financiera (D)]]</calculatedColumnFormula>
    </tableColumn>
  </tableColumns>
  <tableStyleInfo name="Estilo de tabla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6BA409E-249D-4CF7-8AFC-357A711D4608}" name="Tabla134591011121310" displayName="Tabla134591011121310" ref="A80:J81" totalsRowShown="0" headerRowDxfId="284" dataDxfId="282" headerRowBorderDxfId="283" tableBorderDxfId="281" totalsRowBorderDxfId="280">
  <tableColumns count="10">
    <tableColumn id="1" xr3:uid="{DCE41ACE-08C6-426A-8FC2-3C165966839F}" name="Producto" dataDxfId="279"/>
    <tableColumn id="2" xr3:uid="{717537B3-5B0E-475E-AF37-7FD58455CF0A}" name="Indicador asociado" dataDxfId="278"/>
    <tableColumn id="3" xr3:uid="{F5D0F964-1B03-4658-A911-503B5C286E6C}" name="Física (A)" dataDxfId="277">
      <calculatedColumnFormula array="1">+Tabla134591011121310113637[Física (A)]</calculatedColumnFormula>
    </tableColumn>
    <tableColumn id="4" xr3:uid="{759A5B1E-C10F-40F7-8C75-5D52344D0024}" name="Financiera (B)" dataDxfId="276">
      <calculatedColumnFormula array="1">+Tabla134591011121310113637[Financiera (B)]</calculatedColumnFormula>
    </tableColumn>
    <tableColumn id="9" xr3:uid="{880907A3-E7D4-4516-A411-5EB1C891869E}" name="Física (C)" dataDxfId="275">
      <calculatedColumnFormula array="1">+Tabla134591011121310113637[Física (C)]</calculatedColumnFormula>
    </tableColumn>
    <tableColumn id="10" xr3:uid="{82BA409E-64CE-49C5-B437-37CA9F5DBDC7}" name="Financiera (D)" dataDxfId="274">
      <calculatedColumnFormula array="1">+Tabla134591011121310113637[Financiera (D)]</calculatedColumnFormula>
    </tableColumn>
    <tableColumn id="5" xr3:uid="{7E301B1A-9405-4815-B547-E8A453178983}" name="Física (E)" dataDxfId="273">
      <calculatedColumnFormula array="1">+Tabla134591011121310113637[Física (E)]</calculatedColumnFormula>
    </tableColumn>
    <tableColumn id="6" xr3:uid="{0AA7D131-0C7B-42F5-B73F-1466E8C9AF6F}" name="Financiera  (F)" dataDxfId="272">
      <calculatedColumnFormula array="1">+Tabla134591011121310113637[Financiera  (F)]</calculatedColumnFormula>
    </tableColumn>
    <tableColumn id="7" xr3:uid="{3284F241-B15F-43C6-91C4-C700C21B0728}" name="Física (%)_x000a_ G=E/C" dataDxfId="271">
      <calculatedColumnFormula>+Tabla134591011121310[[#This Row],[Física (E)]]/Tabla134591011121310[[#This Row],[Física (C)]]</calculatedColumnFormula>
    </tableColumn>
    <tableColumn id="8" xr3:uid="{616F6A5A-0D4D-4C02-8070-18A28B5AF598}" name="Financiero (%) _x000a_H=F/D" dataDxfId="270">
      <calculatedColumnFormula>+Tabla134591011121310[[#This Row],[Financiera  (F)]]/Tabla134591011121310[[#This Row],[Financiera (D)]]</calculatedColumnFormula>
    </tableColumn>
  </tableColumns>
  <tableStyleInfo name="Estilo de tabla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BA35E864-909A-4C8A-B6DC-76F404359E50}" name="Tabla13459101112133910323334" displayName="Tabla13459101112133910323334" ref="A66:J67" totalsRowShown="0" headerRowDxfId="269" dataDxfId="267" headerRowBorderDxfId="268" tableBorderDxfId="266" totalsRowBorderDxfId="265">
  <tableColumns count="10">
    <tableColumn id="1" xr3:uid="{6A8B92BE-4601-4345-A181-34E3FC65127D}" name="Producto" dataDxfId="264"/>
    <tableColumn id="2" xr3:uid="{8C4C6146-BEE6-496E-9942-BEAE0F3EB207}" name="Indicador asociado" dataDxfId="263"/>
    <tableColumn id="3" xr3:uid="{EFEF41C1-6397-4BDC-A4FF-393625FF45B8}" name="Física (A)" dataDxfId="262">
      <calculatedColumnFormula array="1">+Tabla1345910111213391032[Física (A)]+Tabla1345910111213391531[Física (A)]</calculatedColumnFormula>
    </tableColumn>
    <tableColumn id="4" xr3:uid="{52C9DF71-D0AA-47C9-B14D-7D61613DA06C}" name="Financiera (B)" dataDxfId="261">
      <calculatedColumnFormula array="1">+Tabla1345910111213391032[Financiera (B)]+Tabla1345910111213391531[Financiera (B)]</calculatedColumnFormula>
    </tableColumn>
    <tableColumn id="9" xr3:uid="{C5047D80-D7DD-46C6-9EE2-25F6DD81E39B}" name="Física (C)" dataDxfId="260">
      <calculatedColumnFormula array="1">+Tabla1345910111213391032[Física (C)]+Tabla1345910111213391531[Física (C)]</calculatedColumnFormula>
    </tableColumn>
    <tableColumn id="10" xr3:uid="{63605BC1-06FD-446C-9B73-16C94F6837BB}" name="Financiera (D)" dataDxfId="259">
      <calculatedColumnFormula array="1">+Tabla1345910111213391032[Financiera (D)]+Tabla1345910111213391531[Financiera (D)]</calculatedColumnFormula>
    </tableColumn>
    <tableColumn id="5" xr3:uid="{086BE409-F0C6-4A6D-92E2-40197D5E7C93}" name="Física (E)" dataDxfId="258">
      <calculatedColumnFormula array="1">+Tabla1345910111213391032[Física (E)]+Tabla1345910111213391531[Física (E)]</calculatedColumnFormula>
    </tableColumn>
    <tableColumn id="6" xr3:uid="{D73ECF1F-8C74-4DD1-A854-D953CA274AE9}" name="Financiera  (F)" dataDxfId="257">
      <calculatedColumnFormula array="1">+Tabla1345910111213391032[Financiera  (F)]+Tabla1345910111213391531[Financiera  (F)]</calculatedColumnFormula>
    </tableColumn>
    <tableColumn id="7" xr3:uid="{AF4AB256-DF1B-4DE4-BB48-9EF4D856D223}" name="Física (%)_x000a_ G=E/C" dataDxfId="256">
      <calculatedColumnFormula>G67/E67</calculatedColumnFormula>
    </tableColumn>
    <tableColumn id="8" xr3:uid="{762EF1ED-7456-4C8A-A894-BC8ADF98213B}" name="Financiero (%) _x000a_H=F/D" dataDxfId="255">
      <calculatedColumnFormula>+Tabla13459101112133910323334[[#This Row],[Financiera  (F)]]/Tabla13459101112133910323334[[#This Row],[Financiera (D)]]</calculatedColumnFormula>
    </tableColumn>
  </tableColumns>
  <tableStyleInfo name="Estilo de tabla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D8E18F61-DB7C-47F5-80C3-B1514B993E40}" name="Tabla1768252640" displayName="Tabla1768252640" ref="A32:J33" totalsRowShown="0" headerRowDxfId="254" dataDxfId="252" headerRowBorderDxfId="253" tableBorderDxfId="251" totalsRowBorderDxfId="250">
  <tableColumns count="10">
    <tableColumn id="1" xr3:uid="{0BAC0CBA-97DB-4717-9378-F492A04201FB}" name="Producto" dataDxfId="249"/>
    <tableColumn id="2" xr3:uid="{06BEF256-9866-4053-93FC-3B60E84120AB}" name="Indicador asociado" dataDxfId="248"/>
    <tableColumn id="3" xr3:uid="{45F49B2C-4D91-4E34-BDA9-AFF205904F78}" name="Física (A)" dataDxfId="247"/>
    <tableColumn id="4" xr3:uid="{0604E736-6FCD-4137-B8BB-122E206B1D15}" name="Financiera (B)" dataDxfId="246"/>
    <tableColumn id="9" xr3:uid="{E53BD288-8182-41B2-8C60-4EA7572747D8}" name="Física (C)" dataDxfId="245"/>
    <tableColumn id="10" xr3:uid="{9BCCE531-16FC-4D52-94DD-1E710CCF2E3A}" name="Financiera (D)" dataDxfId="244"/>
    <tableColumn id="5" xr3:uid="{28017C43-CBED-4399-99D5-D3233456F9F6}" name="Física (E)" dataDxfId="243"/>
    <tableColumn id="6" xr3:uid="{3D83377D-98C0-40FE-9603-40F4B1B36BD2}" name="Financiera (F)" dataDxfId="242"/>
    <tableColumn id="7" xr3:uid="{D5316414-D564-4846-BE09-582B038D132E}" name="Física (%)_x000a_ G=E/C" dataDxfId="241" dataCellStyle="Porcentaje">
      <calculatedColumnFormula>+Tabla1768252640[[#This Row],[Física (E)]]/Tabla1768252640[[#This Row],[Física (C)]]</calculatedColumnFormula>
    </tableColumn>
    <tableColumn id="8" xr3:uid="{9C9FEE01-1B7E-4E43-8C94-A71C91C7C1DE}" name="Financiero (%) _x000a_H=F/D" dataDxfId="240">
      <calculatedColumnFormula>+Tabla1768252640[[#This Row],[Financiera (F)]]/Tabla1768252640[[#This Row],[Financiera (D)]]</calculatedColumnFormula>
    </tableColumn>
  </tableColumns>
  <tableStyleInfo name="Estilo de tabla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7CA40F55-4D71-465C-A2FD-CA0899A6E213}" name="Tabla172412182043" displayName="Tabla172412182043" ref="A18:J19" totalsRowShown="0" headerRowDxfId="239" dataDxfId="237" headerRowBorderDxfId="238" tableBorderDxfId="236" totalsRowBorderDxfId="235">
  <tableColumns count="10">
    <tableColumn id="1" xr3:uid="{97649CE2-65A3-4E06-9AF6-8F5F74A392CE}" name="Producto" dataDxfId="234"/>
    <tableColumn id="2" xr3:uid="{0402BC46-40F8-446B-8B2C-D9296F798B47}" name="Indicador asociado" dataDxfId="233"/>
    <tableColumn id="3" xr3:uid="{383D5DEF-8FE7-4278-A045-5BB0EBF1209E}" name="Física (A)" dataDxfId="232"/>
    <tableColumn id="4" xr3:uid="{1EFA1653-9656-4B7C-9241-7445393B8445}" name="Financiera (B)" dataDxfId="231"/>
    <tableColumn id="9" xr3:uid="{667FB7AC-A762-4942-BEA5-592AF3854513}" name="Física (C)" dataDxfId="230"/>
    <tableColumn id="10" xr3:uid="{3902567A-908B-4818-AECE-6B80ECB176B9}" name="Financiera (D)" dataDxfId="229">
      <calculatedColumnFormula array="1">+Tabla1724719[Financiera (D)]+Tabla17241218[Financiera (D)]</calculatedColumnFormula>
    </tableColumn>
    <tableColumn id="5" xr3:uid="{970FAE2C-C7AB-4751-8BE3-E510C89A19B1}" name="Física (E)" dataDxfId="228">
      <calculatedColumnFormula array="1">+Tabla1724719[Física (E)]+Tabla17241218[Física (E)]</calculatedColumnFormula>
    </tableColumn>
    <tableColumn id="6" xr3:uid="{B1D46357-A5F6-4C59-A6EC-430FA70936B1}" name="Financiera  (F)" dataDxfId="227">
      <calculatedColumnFormula array="1">+Tabla1724719[Financiera  (F)]+Tabla17241218[Financiera  (F)]</calculatedColumnFormula>
    </tableColumn>
    <tableColumn id="7" xr3:uid="{2DB27F22-9D9E-48EC-824C-3F52B05B2276}" name="Física (%)_x000a_ G=E/C" dataDxfId="226">
      <calculatedColumnFormula>+Tabla172412182043[[#This Row],[Física (E)]]/Tabla172412182043[[#This Row],[Física (C)]]</calculatedColumnFormula>
    </tableColumn>
    <tableColumn id="8" xr3:uid="{109B796D-7B83-4A1E-9A30-180E75C3A2CF}" name="Financiero (%) _x000a_H=F/D" dataDxfId="225">
      <calculatedColumnFormula>+Tabla172412182043[[#This Row],[Financiera  (F)]]/Tabla172412182043[[#This Row],[Financiera (D)]]</calculatedColumnFormula>
    </tableColumn>
  </tableColumns>
  <tableStyleInfo name="Estilo de tabla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2D43BD52-1F25-4ED5-8CB0-90DF2C9D6243}" name="Tabla17241218" displayName="Tabla17241218" ref="A41:J42" totalsRowShown="0" headerRowDxfId="224" dataDxfId="222" headerRowBorderDxfId="223" tableBorderDxfId="221" totalsRowBorderDxfId="220">
  <tableColumns count="10">
    <tableColumn id="1" xr3:uid="{64B2C2A8-8CE3-447E-B24C-F0A1DC831612}" name="Producto" dataDxfId="219"/>
    <tableColumn id="2" xr3:uid="{643DCBAB-F937-415B-BF5A-1F0A8A9C8783}" name="Indicador asociado" dataDxfId="218"/>
    <tableColumn id="3" xr3:uid="{843A484F-66B0-43AD-A733-ACE4906AD547}" name="Física (A)" dataDxfId="217"/>
    <tableColumn id="4" xr3:uid="{78204D11-A3A8-4B7A-B021-8AF88367BDB2}" name="Financiera (B)" dataDxfId="216"/>
    <tableColumn id="9" xr3:uid="{6A17DA1E-72DA-4D9A-A607-8DB6D4EEE31E}" name="Física (C)" dataDxfId="215"/>
    <tableColumn id="10" xr3:uid="{D5A85A45-F82C-4C86-8D2D-7545DE20EFB6}" name="Financiera (D)" dataDxfId="214"/>
    <tableColumn id="5" xr3:uid="{111B7F34-DD89-402F-B34A-6393D1802E33}" name="Física (E)" dataDxfId="213"/>
    <tableColumn id="6" xr3:uid="{0DB595E7-5B1B-4AD6-A690-1B41946230A2}" name="Financiera  (F)" dataDxfId="212"/>
    <tableColumn id="7" xr3:uid="{832CC3C6-2A22-4C33-98AC-8830CBE9590A}" name="Física (%)_x000a_ G=E/C" dataDxfId="211">
      <calculatedColumnFormula>+Tabla17241218[[#This Row],[Física (E)]]/Tabla17241218[[#This Row],[Física (C)]]</calculatedColumnFormula>
    </tableColumn>
    <tableColumn id="8" xr3:uid="{DDB83A86-F580-4AF4-A492-7F5559AEB9F8}" name="Financiero (%) _x000a_H=F/D" dataDxfId="210">
      <calculatedColumnFormula>+Tabla17241218[[#This Row],[Financiera  (F)]]/Tabla17241218[[#This Row],[Financiera (D)]]</calculatedColumnFormula>
    </tableColumn>
  </tableColumns>
  <tableStyleInfo name="Estilo de tabla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83C9C7EB-5EC6-41AB-AFAC-4246481ACB24}" name="Tabla1724719" displayName="Tabla1724719" ref="A51:J52" totalsRowShown="0" headerRowDxfId="209" dataDxfId="207" headerRowBorderDxfId="208" tableBorderDxfId="206" totalsRowBorderDxfId="205">
  <tableColumns count="10">
    <tableColumn id="1" xr3:uid="{9839DB80-312E-405D-A6C4-945608DE4D24}" name="Producto" dataDxfId="204"/>
    <tableColumn id="2" xr3:uid="{DAFD1667-98FA-41E7-A256-8C356435A609}" name="Indicador asociado" dataDxfId="203"/>
    <tableColumn id="3" xr3:uid="{580AF5A7-DF67-477F-B647-1DB4B593CEE9}" name="Física (A)" dataDxfId="202"/>
    <tableColumn id="4" xr3:uid="{D15ADAE8-3D56-469C-AB9D-F50D8016B32A}" name="Financiera (B)" dataDxfId="201">
      <calculatedColumnFormula array="1">+Tabla17682526[Financiera (B)]</calculatedColumnFormula>
    </tableColumn>
    <tableColumn id="9" xr3:uid="{E3D65BD6-F365-4E4D-99B2-5B27DA528FE0}" name="Física (C)" dataDxfId="200"/>
    <tableColumn id="10" xr3:uid="{93DFBACA-1AAC-43EA-9A62-44A5D47E89BD}" name="Financiera (D)" dataDxfId="199"/>
    <tableColumn id="5" xr3:uid="{6D527FCA-38EE-4766-B6DC-F94356FFCB36}" name="Física (E)" dataDxfId="198"/>
    <tableColumn id="6" xr3:uid="{44C11C04-13F2-4EE7-941B-C24385BC38C0}" name="Financiera  (F)" dataDxfId="197"/>
    <tableColumn id="7" xr3:uid="{38CBBCA0-18AF-4FF0-9304-7B6E365A36AE}" name="Física (%)_x000a_ G=E/C" dataDxfId="196">
      <calculatedColumnFormula>+Tabla1724719[[#This Row],[Física (E)]]/Tabla1724719[[#This Row],[Física (C)]]</calculatedColumnFormula>
    </tableColumn>
    <tableColumn id="8" xr3:uid="{F33FEB8C-3D70-4D39-90B6-45EFC85872C9}" name="Financiero (%) _x000a_H=F/D" dataDxfId="195">
      <calculatedColumnFormula>+Tabla1724719[[#This Row],[Financiera  (F)]]/Tabla1724719[[#This Row],[Financiera (D)]]</calculatedColumnFormula>
    </tableColumn>
  </tableColumns>
  <tableStyleInfo name="Estilo de tabla 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1DF02605-AF4A-4092-9C06-0A67A4F14178}" name="Tabla1724121820" displayName="Tabla1724121820" ref="A30:J31" totalsRowShown="0" headerRowDxfId="194" dataDxfId="192" headerRowBorderDxfId="193" tableBorderDxfId="191" totalsRowBorderDxfId="190">
  <tableColumns count="10">
    <tableColumn id="1" xr3:uid="{ADC80950-1901-42E3-96A2-F7574FE46E68}" name="Producto" dataDxfId="189"/>
    <tableColumn id="2" xr3:uid="{4CFEDB10-C9FA-44FF-8805-6C42E9A1BBA7}" name="Indicador asociado" dataDxfId="188"/>
    <tableColumn id="3" xr3:uid="{95795E69-60E1-40D2-932B-ED6480B451F8}" name="Física (A)" dataDxfId="187"/>
    <tableColumn id="4" xr3:uid="{AE7A97C0-7474-4B48-AEA6-63D50DDB3677}" name="Financiera (B)" dataDxfId="186"/>
    <tableColumn id="9" xr3:uid="{58E406F8-9B1D-4765-A5A4-8918C87E652C}" name="Física (C)" dataDxfId="185">
      <calculatedColumnFormula>+H17</calculatedColumnFormula>
    </tableColumn>
    <tableColumn id="10" xr3:uid="{277FBC9C-F206-4845-9C9A-577503C9CB88}" name="Financiera (D)" dataDxfId="184">
      <calculatedColumnFormula array="1">+Tabla1724719[Financiera (D)]+Tabla17241218[Financiera (D)]</calculatedColumnFormula>
    </tableColumn>
    <tableColumn id="5" xr3:uid="{423ACADF-1DA5-4E15-B498-68E6718B0C52}" name="Física (E)" dataDxfId="183">
      <calculatedColumnFormula array="1">+Tabla1724719[Física (E)]+Tabla17241218[Física (E)]</calculatedColumnFormula>
    </tableColumn>
    <tableColumn id="6" xr3:uid="{8871DCA6-1428-49F7-B94E-CBD6CE30DD37}" name="Financiera  (F)" dataDxfId="182">
      <calculatedColumnFormula array="1">+Tabla1724719[Financiera  (F)]+Tabla17241218[Financiera  (F)]</calculatedColumnFormula>
    </tableColumn>
    <tableColumn id="7" xr3:uid="{D7E4241B-512E-4E98-A129-D455BAF09CE5}" name="Física (%)_x000a_ G=E/C" dataDxfId="181">
      <calculatedColumnFormula>+Tabla1724121820[[#This Row],[Física (E)]]/Tabla1724121820[[#This Row],[Física (C)]]</calculatedColumnFormula>
    </tableColumn>
    <tableColumn id="8" xr3:uid="{F151E5A2-0E09-4AEB-AF67-78C4A88E56D6}" name="Financiero (%) _x000a_H=F/D" dataDxfId="180">
      <calculatedColumnFormula>+Tabla1724121820[[#This Row],[Financiera  (F)]]/Tabla1724121820[[#This Row],[Financiera (D)]]</calculatedColumnFormula>
    </tableColumn>
  </tableColumns>
  <tableStyleInfo name="Estilo de tabla 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101C5BD-2440-40A9-B312-32D569861280}" name="Tabla17682526" displayName="Tabla17682526" ref="A65:J66" totalsRowShown="0" headerRowDxfId="179" dataDxfId="177" headerRowBorderDxfId="178" tableBorderDxfId="176" totalsRowBorderDxfId="175">
  <tableColumns count="10">
    <tableColumn id="1" xr3:uid="{B9BE9E79-F6B1-4681-92FB-756C415819F6}" name="Producto" dataDxfId="174"/>
    <tableColumn id="2" xr3:uid="{CE542D72-3607-48AD-879B-62124FA3394D}" name="Indicador asociado" dataDxfId="173"/>
    <tableColumn id="3" xr3:uid="{54749155-7C1D-4C95-BF8C-081E19431438}" name="Física (A)" dataDxfId="172">
      <calculatedColumnFormula array="1">+Tabla1724719[Física (A)]</calculatedColumnFormula>
    </tableColumn>
    <tableColumn id="4" xr3:uid="{F6AB9D47-F7F1-4BF0-B24B-D54F47A08F11}" name="Financiera (B)" dataDxfId="171"/>
    <tableColumn id="9" xr3:uid="{2E47E4B1-8735-41A0-82A9-C41919F32795}" name="Física (C)" dataDxfId="170"/>
    <tableColumn id="10" xr3:uid="{FB3FBD84-EFB3-4525-A712-EF64DE2732E4}" name="Financiera (D)" dataDxfId="169">
      <calculatedColumnFormula array="1">+Tabla1761341[Financiera (D)]+Tabla176842[Financiera (D)]</calculatedColumnFormula>
    </tableColumn>
    <tableColumn id="5" xr3:uid="{124FD34E-9EB7-4654-883E-06A18F200346}" name="Física (E)" dataDxfId="168">
      <calculatedColumnFormula array="1">+Tabla1761341[Física (E)]+Tabla176842[Física (E)]</calculatedColumnFormula>
    </tableColumn>
    <tableColumn id="6" xr3:uid="{EADF33FC-F4EB-42BA-AD8B-87EED6159939}" name="Financiera (F)" dataDxfId="167"/>
    <tableColumn id="7" xr3:uid="{1A9633B8-9C43-4E38-AD84-B72D8BB9A886}" name="Física (%)_x000a_ G=E/C" dataDxfId="166" dataCellStyle="Porcentaje">
      <calculatedColumnFormula>+Tabla17682526[[#This Row],[Física (E)]]/Tabla17682526[[#This Row],[Física (C)]]</calculatedColumnFormula>
    </tableColumn>
    <tableColumn id="8" xr3:uid="{17AA0A15-99AC-48BB-9347-80412643D5C2}" name="Financiero (%) _x000a_H=F/D" dataDxfId="165">
      <calculatedColumnFormula>+Tabla17682526[[#This Row],[Financiera (F)]]/Tabla17682526[[#This Row],[Financiera (D)]]</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E686F7D-2949-4204-8CE0-81831FFDD104}" name="Tabla17613" displayName="Tabla17613" ref="A32:J33" totalsRowShown="0" headerRowDxfId="434" dataDxfId="432" headerRowBorderDxfId="433" tableBorderDxfId="431" totalsRowBorderDxfId="430">
  <tableColumns count="10">
    <tableColumn id="1" xr3:uid="{90AB0C5D-C6B6-4395-A6E6-C49D2C4E11FB}" name="Producto" dataDxfId="429"/>
    <tableColumn id="2" xr3:uid="{BA6E64D9-7B5C-49FF-9DA7-4083B2A90046}" name="Indicador asociado" dataDxfId="428"/>
    <tableColumn id="3" xr3:uid="{B334D4B4-D134-4D56-983B-B0BE6D7F042F}" name="Física (A)" dataDxfId="427"/>
    <tableColumn id="4" xr3:uid="{583B4659-031D-4942-8DAB-0FA235A896D2}" name="Financiera (B)" dataDxfId="426"/>
    <tableColumn id="9" xr3:uid="{6C5BF166-BB25-440B-BFC9-5D8A09E716AA}" name="Física (C)" dataDxfId="425"/>
    <tableColumn id="10" xr3:uid="{D70DFBEA-976F-4088-8241-445BB3F211A4}" name="Financiera (D)" dataDxfId="424"/>
    <tableColumn id="5" xr3:uid="{9D885087-8AD6-4E2F-A6B4-256169B88234}" name="Física (E)" dataDxfId="423"/>
    <tableColumn id="6" xr3:uid="{304BF569-2C26-42C7-A63B-B5B885F77855}" name="Financiera (F)" dataDxfId="422"/>
    <tableColumn id="7" xr3:uid="{8033B29C-E5C0-4C22-B59E-C6E1782E8CBB}" name="Física (%)_x000a_ G=E/C" dataDxfId="421" dataCellStyle="Porcentaje">
      <calculatedColumnFormula>+Tabla17613[[#This Row],[Física (E)]]/Tabla17613[[#This Row],[Física (C)]]</calculatedColumnFormula>
    </tableColumn>
    <tableColumn id="8" xr3:uid="{29511BA0-93B0-4568-900F-92103512D96E}" name="Financiero (%) _x000a_H=F/D" dataDxfId="420">
      <calculatedColumnFormula>+Tabla17613[[#This Row],[Financiera (F)]]/Tabla17613[[#This Row],[Financiera (D)]]</calculatedColumnFormula>
    </tableColumn>
  </tableColumns>
  <tableStyleInfo name="Estilo de tabla 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417FFE0B-BAF1-4F73-89C5-248BD5DDBF70}" name="Tabla134581428" displayName="Tabla134581428" ref="A115:J116" totalsRowShown="0" headerRowDxfId="164" dataDxfId="162" headerRowBorderDxfId="163" tableBorderDxfId="161" totalsRowBorderDxfId="160">
  <tableColumns count="10">
    <tableColumn id="1" xr3:uid="{18E24F15-043A-45DC-9BE5-579598C8F512}" name="Producto" dataDxfId="159"/>
    <tableColumn id="2" xr3:uid="{8E9EDC0A-FA46-40C8-9401-5F8661CC4732}" name="Indicador asociado" dataDxfId="158"/>
    <tableColumn id="3" xr3:uid="{9A815E05-FFB1-4962-B7BC-129A3C49BA9D}" name="Física (A)" dataDxfId="157"/>
    <tableColumn id="4" xr3:uid="{EE21BB73-FF12-4911-BADE-9B4B1D3BEF4A}" name="Financiera (B)" dataDxfId="156">
      <calculatedColumnFormula>+C112</calculatedColumnFormula>
    </tableColumn>
    <tableColumn id="9" xr3:uid="{ADDC5DE9-D14C-4AD4-B340-694332D86A02}" name="Física (C)" dataDxfId="155"/>
    <tableColumn id="10" xr3:uid="{D8949A05-9AD4-4D20-BF80-CD46FA05EBB5}" name="Financiera (D)" dataDxfId="154"/>
    <tableColumn id="5" xr3:uid="{24EE4B9E-683D-451C-95C0-9049C812737E}" name="Física (E)" dataDxfId="153"/>
    <tableColumn id="6" xr3:uid="{BD4A1465-F0F3-4884-B3F5-2EDB959F006D}" name="Financiera  (F)" dataDxfId="152"/>
    <tableColumn id="7" xr3:uid="{7B2EC750-A7DB-4AE4-9868-EF8F5402AEBB}" name="Física (%)_x000a_ G=E/C" dataDxfId="151">
      <calculatedColumnFormula>+Tabla134581428[[#This Row],[Física (E)]]/Tabla134581428[[#This Row],[Física (C)]]</calculatedColumnFormula>
    </tableColumn>
    <tableColumn id="8" xr3:uid="{985E918B-7070-40D1-8F59-A9D6A6882856}" name="Financiero (%) _x000a_H=F/D" dataDxfId="150">
      <calculatedColumnFormula>+Tabla134581428[[#This Row],[Financiera  (F)]]/Tabla134581428[[#This Row],[Financiera (D)]]</calculatedColumnFormula>
    </tableColumn>
  </tableColumns>
  <tableStyleInfo name="Estilo de tabla 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CF788F03-D817-40A5-A643-E59F44BAD125}" name="Tabla13458929" displayName="Tabla13458929" ref="A127:J128" totalsRowShown="0" headerRowDxfId="149" dataDxfId="147" headerRowBorderDxfId="148" tableBorderDxfId="146" totalsRowBorderDxfId="145">
  <tableColumns count="10">
    <tableColumn id="1" xr3:uid="{A5396A6B-80E9-4ED8-968B-3D31DEC36A90}" name="Producto" dataDxfId="144"/>
    <tableColumn id="2" xr3:uid="{2D514DC6-3C88-4A66-B851-92B2ACF8A897}" name="Indicador asociado" dataDxfId="143"/>
    <tableColumn id="3" xr3:uid="{B2773996-F621-44C5-93A5-98B30869F4F0}" name="Física (A)" dataDxfId="142"/>
    <tableColumn id="4" xr3:uid="{96199FD0-EA95-499D-8A16-E8DADD98D09B}" name="Financiera (B)" dataDxfId="141">
      <calculatedColumnFormula>+C124</calculatedColumnFormula>
    </tableColumn>
    <tableColumn id="9" xr3:uid="{D1267584-C58A-4673-88C1-4A33A9D38DD9}" name="Física (C)" dataDxfId="140"/>
    <tableColumn id="10" xr3:uid="{0F1507FA-5510-4E87-A963-6E6E17C1177E}" name="Financiera (D)" dataDxfId="139"/>
    <tableColumn id="5" xr3:uid="{91A92D5C-276A-42E3-AB78-BC22637C9E5C}" name="Física (E)" dataDxfId="138"/>
    <tableColumn id="6" xr3:uid="{7BB7FBD9-BA84-4F0C-AAFF-83A77DBF5195}" name="Financiera  (F)" dataDxfId="137"/>
    <tableColumn id="7" xr3:uid="{460191B0-0F20-4054-A750-E54C7CFC4685}" name="Física (%)_x000a_ G=E/C" dataDxfId="136">
      <calculatedColumnFormula>+Tabla13458929[[#This Row],[Física (E)]]/Tabla13458929[[#This Row],[Física (C)]]</calculatedColumnFormula>
    </tableColumn>
    <tableColumn id="8" xr3:uid="{A96D681C-2CCA-4246-AFF0-62EA14D0F96A}" name="Financiero (%) _x000a_H=F/D" dataDxfId="135">
      <calculatedColumnFormula>+Tabla13458929[[#This Row],[Financiera  (F)]]/Tabla13458929[[#This Row],[Financiera (D)]]</calculatedColumnFormula>
    </tableColumn>
  </tableColumns>
  <tableStyleInfo name="Estilo de tabla 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8F8FE71D-EA0E-42EF-BE23-29138A7C5D98}" name="Tabla1345892930" displayName="Tabla1345892930" ref="A103:J104" totalsRowShown="0" headerRowDxfId="134" dataDxfId="132" headerRowBorderDxfId="133" tableBorderDxfId="131" totalsRowBorderDxfId="130">
  <tableColumns count="10">
    <tableColumn id="1" xr3:uid="{6DDC6DED-430F-4497-82A8-7089425EC459}" name="Producto" dataDxfId="129"/>
    <tableColumn id="2" xr3:uid="{8725997B-3769-4CCE-BA13-16254F37AF1F}" name="Indicador asociado" dataDxfId="128"/>
    <tableColumn id="3" xr3:uid="{D55CE59A-85AA-4D61-A1CB-9F1656F2D083}" name="Física (A)" dataDxfId="127"/>
    <tableColumn id="4" xr3:uid="{31BCEE62-2147-4627-A650-11B5BC456C54}" name="Financiera (B)" dataDxfId="126">
      <calculatedColumnFormula>+C100</calculatedColumnFormula>
    </tableColumn>
    <tableColumn id="9" xr3:uid="{64DF8D51-9021-43AB-B6D0-E68C524A38A7}" name="Física (C)" dataDxfId="125">
      <calculatedColumnFormula array="1">+Tabla13458929[Física (C)]+Tabla134581428[Física (C)]</calculatedColumnFormula>
    </tableColumn>
    <tableColumn id="10" xr3:uid="{94E560AD-F541-4076-9062-918C1FDF4661}" name="Financiera (D)" dataDxfId="124">
      <calculatedColumnFormula array="1">+Tabla13458929[Financiera (D)]+Tabla134581428[Financiera (D)]</calculatedColumnFormula>
    </tableColumn>
    <tableColumn id="5" xr3:uid="{B368A495-66AF-49BA-B34A-FBCE2D2F3620}" name="Física (E)" dataDxfId="123">
      <calculatedColumnFormula array="1">+Tabla13458929[Física (E)]+Tabla134581428[Física (E)]</calculatedColumnFormula>
    </tableColumn>
    <tableColumn id="6" xr3:uid="{81303E8A-978A-484E-9457-3405FD72DFEF}" name="Financiera  (F)" dataDxfId="122">
      <calculatedColumnFormula array="1">+Tabla13458929[Financiera  (F)]+Tabla134581428[Financiera  (F)]</calculatedColumnFormula>
    </tableColumn>
    <tableColumn id="7" xr3:uid="{F7E46A9A-0FC9-4858-8AD0-8A34BB263D02}" name="Física (%)_x000a_ G=E/C" dataDxfId="121">
      <calculatedColumnFormula>+Tabla1345892930[[#This Row],[Física (E)]]/Tabla1345892930[[#This Row],[Física (C)]]</calculatedColumnFormula>
    </tableColumn>
    <tableColumn id="8" xr3:uid="{0BFBC55C-CF93-48A2-9C1B-792115A8F745}" name="Financiero (%) _x000a_H=F/D" dataDxfId="120">
      <calculatedColumnFormula>+Tabla1345892930[[#This Row],[Financiera  (F)]]/Tabla1345892930[[#This Row],[Financiera (D)]]</calculatedColumnFormula>
    </tableColumn>
  </tableColumns>
  <tableStyleInfo name="Estilo de tabla 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980A0E35-96D6-45B0-A19A-AC18FD19652B}" name="Tabla1345910111213391531" displayName="Tabla1345910111213391531" ref="A153:J154" totalsRowShown="0" headerRowDxfId="119" dataDxfId="117" headerRowBorderDxfId="118" tableBorderDxfId="116" totalsRowBorderDxfId="115">
  <tableColumns count="10">
    <tableColumn id="1" xr3:uid="{4F3D4E42-E393-4F2C-8789-F5353832D9CA}" name="Producto" dataDxfId="114"/>
    <tableColumn id="2" xr3:uid="{3E7E98B5-D24C-4A5B-8066-FCB10154F80D}" name="Indicador asociado" dataDxfId="113"/>
    <tableColumn id="3" xr3:uid="{1D7A1BAD-8EBD-4FA2-8540-5589350C3850}" name="Física (A)" dataDxfId="112"/>
    <tableColumn id="4" xr3:uid="{1C3AA540-92D6-4E26-BFB3-3BA3B2893F0E}" name="Financiera (B)" dataDxfId="111">
      <calculatedColumnFormula>+C150</calculatedColumnFormula>
    </tableColumn>
    <tableColumn id="9" xr3:uid="{89A65B76-F1DB-49F0-92F2-A2DB108BECE5}" name="Física (C)" dataDxfId="110"/>
    <tableColumn id="10" xr3:uid="{A5F24229-89D9-4C0B-A52B-03084D02B3AE}" name="Financiera (D)" dataDxfId="109"/>
    <tableColumn id="5" xr3:uid="{61366925-5454-4EEF-A727-5BB7BF4D8ED4}" name="Física (E)" dataDxfId="108"/>
    <tableColumn id="6" xr3:uid="{AA6C7DDC-CAF5-4E56-A887-05338662D81C}" name="Financiera  (F)" dataDxfId="107"/>
    <tableColumn id="7" xr3:uid="{D9B45227-AC7D-46FD-8329-3A3B8CA0F4F5}" name="Física (%)_x000a_ G=E/C" dataDxfId="106">
      <calculatedColumnFormula>G154/E154</calculatedColumnFormula>
    </tableColumn>
    <tableColumn id="8" xr3:uid="{F7285601-2EE2-4D44-852E-135618A59E2F}" name="Financiero (%) _x000a_H=F/D" dataDxfId="105">
      <calculatedColumnFormula>+Tabla1345910111213391531[[#This Row],[Financiera  (F)]]/Tabla1345910111213391531[[#This Row],[Financiera (D)]]</calculatedColumnFormula>
    </tableColumn>
  </tableColumns>
  <tableStyleInfo name="Estilo de tabla 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1F7BDD54-08C2-4F01-948B-D06181224AEC}" name="Tabla1345910111213391032" displayName="Tabla1345910111213391032" ref="A166:J167" totalsRowShown="0" headerRowDxfId="104" dataDxfId="102" headerRowBorderDxfId="103" tableBorderDxfId="101" totalsRowBorderDxfId="100">
  <tableColumns count="10">
    <tableColumn id="1" xr3:uid="{C54AB1F9-928C-431D-9866-54C01F92B8A3}" name="Producto" dataDxfId="99"/>
    <tableColumn id="2" xr3:uid="{2673D780-C4E3-44F5-A425-3FE07A59BA8B}" name="Indicador asociado" dataDxfId="98"/>
    <tableColumn id="3" xr3:uid="{C696004C-D17F-4117-93CA-C4D5184CDED6}" name="Física (A)" dataDxfId="97"/>
    <tableColumn id="4" xr3:uid="{FE66012F-2E6A-4369-90C6-6F8D62EFE2E0}" name="Financiera (B)" dataDxfId="96">
      <calculatedColumnFormula>+C163</calculatedColumnFormula>
    </tableColumn>
    <tableColumn id="9" xr3:uid="{8D0369DB-F7CE-43E2-B357-3B8403DC70DF}" name="Física (C)" dataDxfId="95"/>
    <tableColumn id="10" xr3:uid="{02E3AA34-EC24-4665-A360-692F2015DEFA}" name="Financiera (D)" dataDxfId="94"/>
    <tableColumn id="5" xr3:uid="{559BC8A3-6401-4DF7-B01A-2E12E9389EE7}" name="Física (E)" dataDxfId="93"/>
    <tableColumn id="6" xr3:uid="{E29DD07F-7060-4516-87D4-EA224774F4D0}" name="Financiera  (F)" dataDxfId="92"/>
    <tableColumn id="7" xr3:uid="{C2769A72-E738-4CDA-9060-8CD98F27062A}" name="Física (%)_x000a_ G=E/C" dataDxfId="91">
      <calculatedColumnFormula>G167/E167</calculatedColumnFormula>
    </tableColumn>
    <tableColumn id="8" xr3:uid="{0E62A92F-6E4C-4614-8584-A3DA5B5C8B0B}" name="Financiero (%) _x000a_H=F/D" dataDxfId="90">
      <calculatedColumnFormula>+Tabla1345910111213391032[[#This Row],[Financiera  (F)]]/Tabla1345910111213391032[[#This Row],[Financiera (D)]]</calculatedColumnFormula>
    </tableColumn>
  </tableColumns>
  <tableStyleInfo name="Estilo de tabla 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6E890583-486D-4F3A-B2A2-BF2A2EBEFF92}" name="Tabla134591011121339103233" displayName="Tabla134591011121339103233" ref="A140:J141" totalsRowShown="0" headerRowDxfId="89" dataDxfId="87" headerRowBorderDxfId="88" tableBorderDxfId="86" totalsRowBorderDxfId="85">
  <tableColumns count="10">
    <tableColumn id="1" xr3:uid="{882E0C12-6D1E-416E-BB93-1B743E99C166}" name="Producto" dataDxfId="84"/>
    <tableColumn id="2" xr3:uid="{D38D6070-BE25-482A-8D0D-395092280411}" name="Indicador asociado" dataDxfId="83"/>
    <tableColumn id="3" xr3:uid="{221F0C74-7141-401D-BC04-769012DF9818}" name="Física (A)" dataDxfId="82">
      <calculatedColumnFormula array="1">+Tabla1345910111213391032[Física (A)]</calculatedColumnFormula>
    </tableColumn>
    <tableColumn id="4" xr3:uid="{D3175AAE-EC57-402A-9A36-BC9B08A6C851}" name="Financiera (B)" dataDxfId="81">
      <calculatedColumnFormula array="1">+Tabla1345910111213391032[Financiera (B)]</calculatedColumnFormula>
    </tableColumn>
    <tableColumn id="9" xr3:uid="{637AB5E8-6D60-4425-8B28-A5714DEA19FE}" name="Física (C)" dataDxfId="80">
      <calculatedColumnFormula array="1">+Tabla1345910111213391032[Física (C)]+Tabla1345910111213391531[Física (C)]</calculatedColumnFormula>
    </tableColumn>
    <tableColumn id="10" xr3:uid="{44669991-F5C8-4EE7-8159-79BB1D4315DF}" name="Financiera (D)" dataDxfId="79">
      <calculatedColumnFormula array="1">+Tabla1345910111213391032[Financiera (D)]+Tabla1345910111213391531[Financiera (D)]</calculatedColumnFormula>
    </tableColumn>
    <tableColumn id="5" xr3:uid="{391F037E-CE74-450C-9DD9-4DFFBF4F626F}" name="Física (E)" dataDxfId="78">
      <calculatedColumnFormula array="1">+Tabla1345910111213391032[Física (E)]+Tabla1345910111213391531[Física (E)]</calculatedColumnFormula>
    </tableColumn>
    <tableColumn id="6" xr3:uid="{B03546BE-6B75-4964-A2F7-BDF5756E7CA2}" name="Financiera  (F)" dataDxfId="77">
      <calculatedColumnFormula array="1">+Tabla1345910111213391032[Financiera  (F)]+Tabla1345910111213391531[Financiera  (F)]</calculatedColumnFormula>
    </tableColumn>
    <tableColumn id="7" xr3:uid="{40625321-D55B-43E6-BD63-2C96DC6C56A2}" name="Física (%)_x000a_ G=E/C" dataDxfId="76">
      <calculatedColumnFormula>G141/E141</calculatedColumnFormula>
    </tableColumn>
    <tableColumn id="8" xr3:uid="{45E804F4-427F-44DF-A0D9-66F4BBED5153}" name="Financiero (%) _x000a_H=F/D" dataDxfId="75">
      <calculatedColumnFormula>+Tabla134591011121339103233[[#This Row],[Financiera  (F)]]/Tabla134591011121339103233[[#This Row],[Financiera (D)]]</calculatedColumnFormula>
    </tableColumn>
  </tableColumns>
  <tableStyleInfo name="Estilo de tabla 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7964E24-8324-4802-A17F-91FFA4B64818}" name="Tabla1345910111213101635" displayName="Tabla1345910111213101635" ref="A191:J192" totalsRowShown="0" headerRowDxfId="74" dataDxfId="72" headerRowBorderDxfId="73" tableBorderDxfId="71" totalsRowBorderDxfId="70">
  <tableColumns count="10">
    <tableColumn id="1" xr3:uid="{7D83701C-D0E5-456C-AC2E-E62F312A4A80}" name="Producto" dataDxfId="69"/>
    <tableColumn id="2" xr3:uid="{7F370F53-6ABD-444D-A47C-D4C0E1C51535}" name="Indicador asociado" dataDxfId="68"/>
    <tableColumn id="3" xr3:uid="{03B08FB7-95DE-47F7-ACCC-D19F58E78FDA}" name="Física (A)" dataDxfId="67"/>
    <tableColumn id="4" xr3:uid="{B8DD2799-A078-4300-9274-80C0F3288B13}" name="Financiera (B)" dataDxfId="66">
      <calculatedColumnFormula>+C188</calculatedColumnFormula>
    </tableColumn>
    <tableColumn id="9" xr3:uid="{F357CFDF-5BA5-410D-BF59-D716D3616F7A}" name="Física (C)" dataDxfId="65"/>
    <tableColumn id="10" xr3:uid="{01D77B64-EEC6-4AE3-A34A-741C1725DD36}" name="Financiera (D)" dataDxfId="64"/>
    <tableColumn id="5" xr3:uid="{93DFFCA3-C73B-49C2-861E-B9B93C667947}" name="Física (E)" dataDxfId="63"/>
    <tableColumn id="6" xr3:uid="{8A5C8CA5-5902-4530-8DFE-0B796A98A241}" name="Financiera  (F)" dataDxfId="62"/>
    <tableColumn id="7" xr3:uid="{C0E71950-B516-42E0-8046-08D2DFF3A877}" name="Física (%)_x000a_ G=E/C" dataDxfId="61"/>
    <tableColumn id="8" xr3:uid="{B13F0950-9E7F-4345-919C-51049E9345C9}" name="Financiero (%) _x000a_H=F/D" dataDxfId="60">
      <calculatedColumnFormula>+Tabla1345910111213101635[[#This Row],[Financiera  (F)]]/Tabla1345910111213101635[[#This Row],[Financiera (D)]]</calculatedColumnFormula>
    </tableColumn>
  </tableColumns>
  <tableStyleInfo name="Estilo de tabla 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542B5AF2-D33F-437B-A2B4-ADC5367DB55F}" name="Tabla1345910111213101136" displayName="Tabla1345910111213101136" ref="A204:J205" totalsRowShown="0" headerRowDxfId="59" dataDxfId="57" headerRowBorderDxfId="58" tableBorderDxfId="56" totalsRowBorderDxfId="55">
  <tableColumns count="10">
    <tableColumn id="1" xr3:uid="{0B730C6B-D088-4701-B991-7D2D7BBDE8D8}" name="Producto" dataDxfId="54"/>
    <tableColumn id="2" xr3:uid="{67894976-B7F2-4685-B9DA-E7A4B732F462}" name="Indicador asociado" dataDxfId="53"/>
    <tableColumn id="3" xr3:uid="{F44F6016-D8DC-4A28-8943-E33A0B5561FD}" name="Física (A)" dataDxfId="52"/>
    <tableColumn id="4" xr3:uid="{C362A44F-2CC7-497B-95C7-32FFB6069B2E}" name="Financiera (B)" dataDxfId="51">
      <calculatedColumnFormula>+C201</calculatedColumnFormula>
    </tableColumn>
    <tableColumn id="9" xr3:uid="{890B438E-55CE-4C63-948D-A468123C7494}" name="Física (C)" dataDxfId="50"/>
    <tableColumn id="10" xr3:uid="{2D5D04DD-95B9-4E2A-A6A5-2F2CFB666A6C}" name="Financiera (D)" dataDxfId="49"/>
    <tableColumn id="5" xr3:uid="{5F8260D8-0673-4E9B-9662-B19C6D409AC2}" name="Física (E)" dataDxfId="48"/>
    <tableColumn id="6" xr3:uid="{AEAF4C09-7FCA-4D79-9723-4FBEE0D22647}" name="Financiera  (F)" dataDxfId="47"/>
    <tableColumn id="7" xr3:uid="{71A83D9E-90B5-44B6-B8F2-B4A4B237415F}" name="Física (%)_x000a_ G=E/C" dataDxfId="46"/>
    <tableColumn id="8" xr3:uid="{CD02D71F-B4B3-44E0-A534-7414BFD47551}" name="Financiero (%) _x000a_H=F/D" dataDxfId="45">
      <calculatedColumnFormula>+Tabla1345910111213101136[[#This Row],[Financiera  (F)]]/Tabla1345910111213101136[[#This Row],[Financiera (D)]]</calculatedColumnFormula>
    </tableColumn>
  </tableColumns>
  <tableStyleInfo name="Estilo de tabla 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5C7A2381-EBC6-41CB-A284-750590468D4D}" name="Tabla134591011121310113637" displayName="Tabla134591011121310113637" ref="A179:J180" totalsRowShown="0" headerRowDxfId="44" dataDxfId="42" headerRowBorderDxfId="43" tableBorderDxfId="41" totalsRowBorderDxfId="40">
  <tableColumns count="10">
    <tableColumn id="1" xr3:uid="{E9EECE57-4010-4706-B9B4-F4CE4D0AE4DD}" name="Producto" dataDxfId="39"/>
    <tableColumn id="2" xr3:uid="{F500DEA9-83AC-440E-8367-C173FFE8BBEC}" name="Indicador asociado" dataDxfId="38"/>
    <tableColumn id="3" xr3:uid="{7F2210D2-3740-47A2-82C7-6CD1DF8F6B65}" name="Física (A)" dataDxfId="37"/>
    <tableColumn id="4" xr3:uid="{BA9E80E6-7943-4686-8FC5-4D7E104DA97F}" name="Financiera (B)" dataDxfId="36">
      <calculatedColumnFormula array="1">+Tabla1345910111213101136[Financiera (B)]</calculatedColumnFormula>
    </tableColumn>
    <tableColumn id="9" xr3:uid="{9F7BDE56-786D-4DB1-9871-9235F3BA5F23}" name="Física (C)" dataDxfId="35"/>
    <tableColumn id="10" xr3:uid="{D1D8B993-2D7B-45FD-8756-8A092CA290E0}" name="Financiera (D)" dataDxfId="34">
      <calculatedColumnFormula array="1">+Tabla1345910111213101136[Financiera (D)]+Tabla1345910111213101635[Financiera (D)]</calculatedColumnFormula>
    </tableColumn>
    <tableColumn id="5" xr3:uid="{5CB36E16-1885-4602-A20E-BE96B0D7A100}" name="Física (E)" dataDxfId="33">
      <calculatedColumnFormula array="1">+Tabla1345910111213101136[Física (E)]+Tabla1345910111213101635[Física (E)]</calculatedColumnFormula>
    </tableColumn>
    <tableColumn id="6" xr3:uid="{8A51501B-6FE6-4B33-BC54-20C30D34C83F}" name="Financiera  (F)" dataDxfId="32">
      <calculatedColumnFormula array="1">+Tabla1345910111213101136[Financiera  (F)]+Tabla1345910111213101635[Financiera  (F)]</calculatedColumnFormula>
    </tableColumn>
    <tableColumn id="7" xr3:uid="{54B04A7D-F9F3-4709-9C34-04E17B55924F}" name="Física (%)_x000a_ G=E/C" dataDxfId="31"/>
    <tableColumn id="8" xr3:uid="{E8FEE6F7-4725-4018-A103-1F8DF3A674B9}" name="Financiero (%) _x000a_H=F/D" dataDxfId="30">
      <calculatedColumnFormula>+Tabla134591011121310113637[[#This Row],[Financiera  (F)]]/Tabla134591011121310113637[[#This Row],[Financiera (D)]]</calculatedColumnFormula>
    </tableColumn>
  </tableColumns>
  <tableStyleInfo name="Estilo de tabla 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CB3DC749-21BF-45FF-879A-CB0292A29077}" name="Tabla1761341" displayName="Tabla1761341" ref="A77:J78" totalsRowShown="0" headerRowDxfId="29" dataDxfId="27" headerRowBorderDxfId="28" tableBorderDxfId="26" totalsRowBorderDxfId="25">
  <tableColumns count="10">
    <tableColumn id="1" xr3:uid="{2A678793-0AE5-4C4D-8317-260C27B160C3}" name="Producto" dataDxfId="24"/>
    <tableColumn id="2" xr3:uid="{A95EC476-98B5-4D73-B59F-BFCD30095740}" name="Indicador asociado" dataDxfId="23"/>
    <tableColumn id="3" xr3:uid="{0F10B9B3-0F19-4FA6-ACF5-B7C98498F651}" name="Física (A)" dataDxfId="22"/>
    <tableColumn id="4" xr3:uid="{856672A8-F14B-4954-AF78-8AAED4441C71}" name="Financiera (B)" dataDxfId="21"/>
    <tableColumn id="9" xr3:uid="{2D741713-38B9-4751-8EC8-4994E0AC4DA5}" name="Física (C)" dataDxfId="20"/>
    <tableColumn id="10" xr3:uid="{DA383AA0-93EF-41B3-A554-8120C3A95BB7}" name="Financiera (D)" dataDxfId="19"/>
    <tableColumn id="5" xr3:uid="{1D0FDA42-80BE-48EC-9DC0-539158230A68}" name="Física (E)" dataDxfId="18"/>
    <tableColumn id="6" xr3:uid="{E2E9875E-C4C4-4E21-8A75-74F0D8F04CAD}" name="Financiera (F)" dataDxfId="17"/>
    <tableColumn id="7" xr3:uid="{DE9E0B8F-E422-4F13-B682-02F327244617}" name="Física (%)_x000a_ G=E/C" dataDxfId="16" dataCellStyle="Porcentaje">
      <calculatedColumnFormula>+Tabla1761341[[#This Row],[Física (E)]]/Tabla1761341[[#This Row],[Física (C)]]</calculatedColumnFormula>
    </tableColumn>
    <tableColumn id="8" xr3:uid="{C28C8D13-9D04-4CF5-9DE6-FAA81D188B90}" name="Financiero (%) _x000a_H=F/D" dataDxfId="15">
      <calculatedColumnFormula>+Tabla1761341[[#This Row],[Financiera (F)]]/Tabla1761341[[#This Row],[Financiera (D)]]</calculatedColumnFormula>
    </tableColumn>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6C7A8C1-F0D3-4519-A0DA-6535CAEA9E0C}" name="Tabla1345814" displayName="Tabla1345814" ref="A51:J52" totalsRowShown="0" headerRowDxfId="419" dataDxfId="417" headerRowBorderDxfId="418" tableBorderDxfId="416" totalsRowBorderDxfId="415">
  <tableColumns count="10">
    <tableColumn id="1" xr3:uid="{FB3DC7F9-98FD-4050-8F18-F23011B15770}" name="Producto" dataDxfId="414"/>
    <tableColumn id="2" xr3:uid="{21122A17-F03D-4AC2-A411-D7A5D7845216}" name="Indicador asociado" dataDxfId="413"/>
    <tableColumn id="3" xr3:uid="{C1144FFD-6F57-403B-B2C4-ADB942E2A78A}" name="Física (A)" dataDxfId="412"/>
    <tableColumn id="4" xr3:uid="{478D1D20-B8C2-4ED6-AF92-CB25DFE692DF}" name="Financiera (B)" dataDxfId="411">
      <calculatedColumnFormula>+C48</calculatedColumnFormula>
    </tableColumn>
    <tableColumn id="9" xr3:uid="{FAEAFA44-9A6D-4565-80F4-3291D2AB26AC}" name="Física (C)" dataDxfId="410"/>
    <tableColumn id="10" xr3:uid="{A51D83CF-F1B0-453C-AEDC-C29AC95777D7}" name="Financiera (D)" dataDxfId="409"/>
    <tableColumn id="5" xr3:uid="{C97D5E65-C370-4766-BF6C-D47AC61A66AC}" name="Física (E)" dataDxfId="408"/>
    <tableColumn id="6" xr3:uid="{E383088E-345C-446A-AFF3-2B23D0A6BE5F}" name="Financiera  (F)" dataDxfId="407"/>
    <tableColumn id="7" xr3:uid="{17164156-C23D-4A60-907F-5045BDE0A334}" name="Física (%)_x000a_ G=E/C" dataDxfId="406">
      <calculatedColumnFormula>+Tabla1345814[[#This Row],[Física (E)]]/Tabla1345814[[#This Row],[Física (C)]]</calculatedColumnFormula>
    </tableColumn>
    <tableColumn id="8" xr3:uid="{B9375E6D-DBED-4F33-8DEC-975C42594B01}" name="Financiero (%) _x000a_H=F/D" dataDxfId="405">
      <calculatedColumnFormula>+Tabla1345814[[#This Row],[Financiera  (F)]]/Tabla1345814[[#This Row],[Financiera (D)]]</calculatedColumnFormula>
    </tableColumn>
  </tableColumns>
  <tableStyleInfo name="Estilo de tabla 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E9D412D8-2312-4D30-9A8F-629990A26BDB}" name="Tabla176842" displayName="Tabla176842" ref="A90:J91" totalsRowShown="0" headerRowDxfId="14" dataDxfId="12" headerRowBorderDxfId="13" tableBorderDxfId="11" totalsRowBorderDxfId="10">
  <tableColumns count="10">
    <tableColumn id="1" xr3:uid="{A96B5AFF-B463-4B46-8CFE-9DEE70405181}" name="Producto" dataDxfId="9"/>
    <tableColumn id="2" xr3:uid="{7D5CBD1A-98F6-4732-B8F1-73E2F1B5C1E9}" name="Indicador asociado" dataDxfId="8"/>
    <tableColumn id="3" xr3:uid="{7E879FF8-C42E-46EA-A4D2-0048E66AC428}" name="Física (A)" dataDxfId="7"/>
    <tableColumn id="4" xr3:uid="{B7AEEBB7-6F68-4E1B-B334-CE0B7C5381F7}" name="Financiera (B)" dataDxfId="6"/>
    <tableColumn id="9" xr3:uid="{6C18A3C1-CD95-4206-9A7F-A8893FE3CE99}" name="Física (C)" dataDxfId="5"/>
    <tableColumn id="10" xr3:uid="{73D703C0-3C40-42A9-AA3F-5EE4BF7CE29E}" name="Financiera (D)" dataDxfId="4"/>
    <tableColumn id="5" xr3:uid="{80BF50D1-1686-48EF-8A1C-552A3546E820}" name="Física (E)" dataDxfId="3"/>
    <tableColumn id="6" xr3:uid="{07E58778-13C6-4B24-AD27-6A809FF1CB64}" name="Financiera (F)" dataDxfId="2"/>
    <tableColumn id="7" xr3:uid="{4635E638-3F0D-4196-A339-663E2DF465A1}" name="Física (%)_x000a_ G=E/C" dataDxfId="1" dataCellStyle="Porcentaje">
      <calculatedColumnFormula>+Tabla176842[[#This Row],[Física (E)]]/Tabla176842[[#This Row],[Física (C)]]</calculatedColumnFormula>
    </tableColumn>
    <tableColumn id="8" xr3:uid="{E7396E6B-27CA-4DD4-88CE-C322ED217470}" name="Financiero (%) _x000a_H=F/D" dataDxfId="0">
      <calculatedColumnFormula>+Tabla176842[[#This Row],[Financiera (F)]]/Tabla176842[[#This Row],[Financiera (D)]]</calculatedColumnFormula>
    </tableColumn>
  </tableColumns>
  <tableStyleInfo name="Estilo de tabla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4C46D97-B854-4C3C-8EF8-022F92F5D869}" name="Tabla13459101112133915" displayName="Tabla13459101112133915" ref="A66:J67" totalsRowShown="0" headerRowDxfId="404" dataDxfId="402" headerRowBorderDxfId="403" tableBorderDxfId="401" totalsRowBorderDxfId="400">
  <tableColumns count="10">
    <tableColumn id="1" xr3:uid="{5FBBD6C9-C09E-4159-BB5D-6E949D54DCE4}" name="Producto" dataDxfId="399"/>
    <tableColumn id="2" xr3:uid="{374111E5-7FF3-4B33-8866-B6E55641BD8C}" name="Indicador asociado" dataDxfId="398"/>
    <tableColumn id="3" xr3:uid="{01FD1955-554B-4468-9A5B-0775E15ED105}" name="Física (A)" dataDxfId="397"/>
    <tableColumn id="4" xr3:uid="{5445DFD9-8B0B-45BD-8786-AA323C07F307}" name="Financiera (B)" dataDxfId="396">
      <calculatedColumnFormula>+C63</calculatedColumnFormula>
    </tableColumn>
    <tableColumn id="9" xr3:uid="{7990ED11-38E7-424E-857B-D8D4D21FB55B}" name="Física (C)" dataDxfId="395"/>
    <tableColumn id="10" xr3:uid="{247A5238-C3C5-4457-879B-5E809E4E5E7E}" name="Financiera (D)" dataDxfId="394"/>
    <tableColumn id="5" xr3:uid="{89F8B03A-F744-4057-8035-B8F15D5F2282}" name="Física (E)" dataDxfId="393"/>
    <tableColumn id="6" xr3:uid="{16F39562-1763-403B-963D-23F82BEFF08B}" name="Financiera  (F)" dataDxfId="392"/>
    <tableColumn id="7" xr3:uid="{DA895781-9B92-464E-82D9-51D3EEBAA6F6}" name="Física (%)_x000a_ G=E/C" dataDxfId="391">
      <calculatedColumnFormula>G67/E67</calculatedColumnFormula>
    </tableColumn>
    <tableColumn id="8" xr3:uid="{C47F19F4-80CD-41AB-9F94-00B0DF79DF6F}" name="Financiero (%) _x000a_H=F/D" dataDxfId="390">
      <calculatedColumnFormula>+Tabla13459101112133915[[#This Row],[Financiera  (F)]]/Tabla13459101112133915[[#This Row],[Financiera (D)]]</calculatedColumnFormula>
    </tableColumn>
  </tableColumns>
  <tableStyleInfo name="Estilo de tabla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50A3215B-1D9B-4DF9-9217-3B50AB4F929C}" name="Tabla13459101112131016" displayName="Tabla13459101112131016" ref="A80:J81" totalsRowShown="0" headerRowDxfId="389" dataDxfId="387" headerRowBorderDxfId="388" tableBorderDxfId="386" totalsRowBorderDxfId="385">
  <tableColumns count="10">
    <tableColumn id="1" xr3:uid="{D049FC52-A582-41B0-B645-CFBC2D0EC4A5}" name="Producto" dataDxfId="384"/>
    <tableColumn id="2" xr3:uid="{F351393F-A97B-44BA-BEB3-A445097D6994}" name="Indicador asociado" dataDxfId="383"/>
    <tableColumn id="3" xr3:uid="{FBC48083-72F9-4877-9093-B4F2F5D14FA2}" name="Física (A)" dataDxfId="382"/>
    <tableColumn id="4" xr3:uid="{02A6F6CD-0D01-4A03-8750-2AFE1891A00E}" name="Financiera (B)" dataDxfId="381">
      <calculatedColumnFormula>+C77</calculatedColumnFormula>
    </tableColumn>
    <tableColumn id="9" xr3:uid="{CA38035C-853A-4B88-9E17-2CED4081EB4D}" name="Física (C)" dataDxfId="380"/>
    <tableColumn id="10" xr3:uid="{E43C9C95-2F28-4CA7-A19B-7F1804B44194}" name="Financiera (D)" dataDxfId="379"/>
    <tableColumn id="5" xr3:uid="{818A8923-0961-4E40-A39F-27E488B89007}" name="Física (E)" dataDxfId="378"/>
    <tableColumn id="6" xr3:uid="{2942801D-5F25-4976-AEB0-384EBEC422BF}" name="Financiera  (F)" dataDxfId="377"/>
    <tableColumn id="7" xr3:uid="{5A5FA661-8AD1-44E2-9215-B047ECA76988}" name="Física (%)_x000a_ G=E/C" dataDxfId="376"/>
    <tableColumn id="8" xr3:uid="{342B690B-714B-4143-AB8F-363306BA0136}" name="Financiero (%) _x000a_H=F/D" dataDxfId="375">
      <calculatedColumnFormula>+Tabla13459101112131016[[#This Row],[Financiera  (F)]]/Tabla13459101112131016[[#This Row],[Financiera (D)]]</calculatedColumnFormula>
    </tableColumn>
  </tableColumns>
  <tableStyleInfo name="Estilo de tabla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9B55D74-FC7C-4337-BBB1-6D8DBA652224}" name="Tabla17247" displayName="Tabla17247" ref="A18:J19" totalsRowShown="0" headerRowDxfId="374" dataDxfId="372" headerRowBorderDxfId="373" tableBorderDxfId="371" totalsRowBorderDxfId="370">
  <tableColumns count="10">
    <tableColumn id="1" xr3:uid="{B74D12B7-84E8-4265-B11C-BE6085F243B9}" name="Producto" dataDxfId="369"/>
    <tableColumn id="2" xr3:uid="{FBC84FC7-FD56-4D05-8CE0-06AA93242D6D}" name="Indicador asociado" dataDxfId="368"/>
    <tableColumn id="3" xr3:uid="{4164786D-AB01-42FF-BBBF-C2E57B62876A}" name="Física (A)" dataDxfId="367"/>
    <tableColumn id="4" xr3:uid="{7A3241C9-EFB3-4704-BD28-2E1DD04C929D}" name="Financiera (B)" dataDxfId="366"/>
    <tableColumn id="9" xr3:uid="{AB3C5E18-55DF-4AC4-9FD9-B50EC5D21543}" name="Física (C)" dataDxfId="365"/>
    <tableColumn id="10" xr3:uid="{9DE36912-6E2B-40B9-AF8E-C22828774F06}" name="Financiera (D)" dataDxfId="364"/>
    <tableColumn id="5" xr3:uid="{D137D6D5-A5AE-49ED-8EB9-4395C2600871}" name="Física (E)" dataDxfId="363"/>
    <tableColumn id="6" xr3:uid="{DBCC96B4-7A41-459A-ADB9-05E7AD46942C}" name="Financiera  (F)" dataDxfId="362"/>
    <tableColumn id="7" xr3:uid="{5212A92B-0081-4B4A-8AC5-5B7CF3106CC9}" name="Física (%)_x000a_ G=E/C" dataDxfId="361">
      <calculatedColumnFormula>+Tabla17247[[#This Row],[Física (E)]]/Tabla17247[[#This Row],[Física (C)]]</calculatedColumnFormula>
    </tableColumn>
    <tableColumn id="8" xr3:uid="{0C7B8866-AA02-441C-8AE9-99A1EC6777A8}" name="Financiero (%) _x000a_H=F/D" dataDxfId="360">
      <calculatedColumnFormula>+Tabla17247[[#This Row],[Financiera  (F)]]/Tabla17247[[#This Row],[Financiera (D)]]</calculatedColumnFormula>
    </tableColumn>
  </tableColumns>
  <tableStyleInfo name="Estilo de tabla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DEC5CEB-B7BF-46E9-B0AB-51E3DAABA312}" name="Tabla1768" displayName="Tabla1768" ref="A32:J33" totalsRowShown="0" headerRowDxfId="359" dataDxfId="357" headerRowBorderDxfId="358" tableBorderDxfId="356" totalsRowBorderDxfId="355">
  <tableColumns count="10">
    <tableColumn id="1" xr3:uid="{65234595-7311-49BB-85AE-05A7049D60C8}" name="Producto" dataDxfId="354"/>
    <tableColumn id="2" xr3:uid="{0134477E-A8F2-413C-B7EF-D8BF75DB252F}" name="Indicador asociado" dataDxfId="353"/>
    <tableColumn id="3" xr3:uid="{1B3EAA57-307A-41BB-9CF4-843CD2314FB4}" name="Física (A)" dataDxfId="352"/>
    <tableColumn id="4" xr3:uid="{F42278FA-011F-4370-92EA-6D55E115E2FE}" name="Financiera (B)" dataDxfId="351"/>
    <tableColumn id="9" xr3:uid="{20B13963-5EFC-48DB-896A-18D770CDD769}" name="Física (C)" dataDxfId="350"/>
    <tableColumn id="10" xr3:uid="{8B4A4EC5-E138-44B4-9F5C-A6188A01318D}" name="Financiera (D)" dataDxfId="349"/>
    <tableColumn id="5" xr3:uid="{07516781-56A3-455C-ADC3-7D5654628813}" name="Física (E)" dataDxfId="348"/>
    <tableColumn id="6" xr3:uid="{2F3476A1-243C-49A0-A02C-716A9F925940}" name="Financiera (F)" dataDxfId="347"/>
    <tableColumn id="7" xr3:uid="{997B7217-624B-4A6A-BADA-CDD4F2AFC849}" name="Física (%)_x000a_ G=E/C" dataDxfId="346" dataCellStyle="Porcentaje">
      <calculatedColumnFormula>+Tabla1768[[#This Row],[Física (E)]]/Tabla1768[[#This Row],[Física (C)]]</calculatedColumnFormula>
    </tableColumn>
    <tableColumn id="8" xr3:uid="{D4A7CD23-03D1-49ED-8FD9-17809A381756}" name="Financiero (%) _x000a_H=F/D" dataDxfId="345">
      <calculatedColumnFormula>+Tabla1768[[#This Row],[Financiera (F)]]/Tabla1768[[#This Row],[Financiera (D)]]</calculatedColumnFormula>
    </tableColumn>
  </tableColumns>
  <tableStyleInfo name="Estilo de tabla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42A48BF-086F-4B72-B077-CD9E823377FC}" name="Tabla134589" displayName="Tabla134589" ref="A51:J52" totalsRowShown="0" headerRowDxfId="344" dataDxfId="342" headerRowBorderDxfId="343" tableBorderDxfId="341" totalsRowBorderDxfId="340">
  <tableColumns count="10">
    <tableColumn id="1" xr3:uid="{31C64673-B3D4-4297-B2DB-D2BB66343F74}" name="Producto" dataDxfId="339"/>
    <tableColumn id="2" xr3:uid="{F13B7BEF-CE64-4063-8230-3DD7348F8B09}" name="Indicador asociado" dataDxfId="338"/>
    <tableColumn id="3" xr3:uid="{0B4C0DF0-0AFF-4987-872E-DE96E936D964}" name="Física (A)" dataDxfId="337"/>
    <tableColumn id="4" xr3:uid="{952232D1-0FA8-49A2-BFC3-93AB1E0E337C}" name="Financiera (B)" dataDxfId="336">
      <calculatedColumnFormula>+C48</calculatedColumnFormula>
    </tableColumn>
    <tableColumn id="9" xr3:uid="{84C7C028-62AB-4058-BF76-A092AD504246}" name="Física (C)" dataDxfId="335"/>
    <tableColumn id="10" xr3:uid="{092EC63A-56CE-4165-BAD5-16C8E3792A20}" name="Financiera (D)" dataDxfId="334"/>
    <tableColumn id="5" xr3:uid="{3AFE7DED-66AD-4433-8381-1C91D346E0A0}" name="Física (E)" dataDxfId="333"/>
    <tableColumn id="6" xr3:uid="{E92DC1D3-541E-42CD-A992-6B1EFE5C29CB}" name="Financiera  (F)" dataDxfId="332"/>
    <tableColumn id="7" xr3:uid="{138E1433-EAF8-472F-94CC-BA40D8648D2F}" name="Física (%)_x000a_ G=E/C" dataDxfId="331">
      <calculatedColumnFormula>+Tabla134589[[#This Row],[Física (E)]]/Tabla134589[[#This Row],[Física (C)]]</calculatedColumnFormula>
    </tableColumn>
    <tableColumn id="8" xr3:uid="{FDE69B1B-10F0-4E12-A2F1-C933A975DB49}" name="Financiero (%) _x000a_H=F/D" dataDxfId="330">
      <calculatedColumnFormula>+Tabla134589[[#This Row],[Financiera  (F)]]/Tabla134589[[#This Row],[Financiera (D)]]</calculatedColumnFormula>
    </tableColumn>
  </tableColumns>
  <tableStyleInfo name="Estilo de tabla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61FEFCC-F2A9-4479-989A-F6BC6AA4616B}" name="Tabla13459101112133910" displayName="Tabla13459101112133910" ref="A66:J67" totalsRowShown="0" headerRowDxfId="329" dataDxfId="327" headerRowBorderDxfId="328" tableBorderDxfId="326" totalsRowBorderDxfId="325">
  <tableColumns count="10">
    <tableColumn id="1" xr3:uid="{FE0F3E78-26EF-44BB-A4FB-6172C201E2D7}" name="Producto" dataDxfId="324"/>
    <tableColumn id="2" xr3:uid="{0D0BEF20-7478-413C-90DD-6C326CAD20E0}" name="Indicador asociado" dataDxfId="323"/>
    <tableColumn id="3" xr3:uid="{0140F262-9B25-45DF-BA20-E0A939F8487D}" name="Física (A)" dataDxfId="322"/>
    <tableColumn id="4" xr3:uid="{07A104CC-9D08-4A4A-A1E4-CD1EBFAE09E7}" name="Financiera (B)" dataDxfId="321">
      <calculatedColumnFormula>+C63</calculatedColumnFormula>
    </tableColumn>
    <tableColumn id="9" xr3:uid="{992AE51B-FB46-4668-8B93-96FD4A65292E}" name="Física (C)" dataDxfId="320"/>
    <tableColumn id="10" xr3:uid="{224D9B21-E6FE-4895-AE19-D6FDBD059BA1}" name="Financiera (D)" dataDxfId="319"/>
    <tableColumn id="5" xr3:uid="{62F5D7BB-7064-441C-B4D2-A830333FCD02}" name="Física (E)" dataDxfId="318"/>
    <tableColumn id="6" xr3:uid="{374C0BD0-0199-41DB-84F3-68EEC3B6DC0F}" name="Financiera  (F)" dataDxfId="317"/>
    <tableColumn id="7" xr3:uid="{E7AD8442-D040-47EA-BA36-8F850DAD7514}" name="Física (%)_x000a_ G=E/C" dataDxfId="316">
      <calculatedColumnFormula>G67/E67</calculatedColumnFormula>
    </tableColumn>
    <tableColumn id="8" xr3:uid="{5804B411-63B6-49D5-BDAD-AB938898C4FA}" name="Financiero (%) _x000a_H=F/D" dataDxfId="315">
      <calculatedColumnFormula>+Tabla13459101112133910[[#This Row],[Financiera  (F)]]/Tabla13459101112133910[[#This Row],[Financiera (D)]]</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printerSettings" Target="../printerSettings/printerSettings2.bin"/><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table" Target="../tables/table11.xml"/><Relationship Id="rId1" Type="http://schemas.openxmlformats.org/officeDocument/2006/relationships/printerSettings" Target="../printerSettings/printerSettings3.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s>
</file>

<file path=xl/worksheets/_rels/sheet4.xml.rels><?xml version="1.0" encoding="UTF-8" standalone="yes"?>
<Relationships xmlns="http://schemas.openxmlformats.org/package/2006/relationships"><Relationship Id="rId8" Type="http://schemas.openxmlformats.org/officeDocument/2006/relationships/table" Target="../tables/table23.xml"/><Relationship Id="rId13" Type="http://schemas.openxmlformats.org/officeDocument/2006/relationships/table" Target="../tables/table28.xml"/><Relationship Id="rId3" Type="http://schemas.openxmlformats.org/officeDocument/2006/relationships/table" Target="../tables/table18.xml"/><Relationship Id="rId7" Type="http://schemas.openxmlformats.org/officeDocument/2006/relationships/table" Target="../tables/table22.xml"/><Relationship Id="rId12" Type="http://schemas.openxmlformats.org/officeDocument/2006/relationships/table" Target="../tables/table27.xml"/><Relationship Id="rId2" Type="http://schemas.openxmlformats.org/officeDocument/2006/relationships/table" Target="../tables/table17.xml"/><Relationship Id="rId1" Type="http://schemas.openxmlformats.org/officeDocument/2006/relationships/table" Target="../tables/table16.xml"/><Relationship Id="rId6" Type="http://schemas.openxmlformats.org/officeDocument/2006/relationships/table" Target="../tables/table21.xml"/><Relationship Id="rId11" Type="http://schemas.openxmlformats.org/officeDocument/2006/relationships/table" Target="../tables/table26.xml"/><Relationship Id="rId5" Type="http://schemas.openxmlformats.org/officeDocument/2006/relationships/table" Target="../tables/table20.xml"/><Relationship Id="rId15" Type="http://schemas.openxmlformats.org/officeDocument/2006/relationships/table" Target="../tables/table30.xml"/><Relationship Id="rId10" Type="http://schemas.openxmlformats.org/officeDocument/2006/relationships/table" Target="../tables/table25.xml"/><Relationship Id="rId4" Type="http://schemas.openxmlformats.org/officeDocument/2006/relationships/table" Target="../tables/table19.xml"/><Relationship Id="rId9" Type="http://schemas.openxmlformats.org/officeDocument/2006/relationships/table" Target="../tables/table24.xml"/><Relationship Id="rId14" Type="http://schemas.openxmlformats.org/officeDocument/2006/relationships/table" Target="../tables/table2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FA75D-8308-421A-BD46-411FED08B7C0}">
  <sheetPr>
    <tabColor rgb="FF92D050"/>
    <pageSetUpPr fitToPage="1"/>
  </sheetPr>
  <dimension ref="A1:L93"/>
  <sheetViews>
    <sheetView topLeftCell="A10" zoomScaleNormal="100" zoomScaleSheetLayoutView="85" zoomScalePageLayoutView="85" workbookViewId="0">
      <selection activeCell="A20" sqref="A20:J20"/>
    </sheetView>
  </sheetViews>
  <sheetFormatPr baseColWidth="10" defaultColWidth="11.42578125" defaultRowHeight="15.75" x14ac:dyDescent="0.25"/>
  <cols>
    <col min="1" max="1" width="28.5703125" style="5" customWidth="1"/>
    <col min="2" max="2" width="27.140625" style="5" customWidth="1"/>
    <col min="3" max="3" width="14.28515625" style="5" customWidth="1"/>
    <col min="4" max="4" width="16.5703125" style="5" customWidth="1"/>
    <col min="5" max="5" width="13.7109375" style="5" customWidth="1"/>
    <col min="6" max="6" width="15.7109375" style="5" customWidth="1"/>
    <col min="7" max="7" width="12.7109375" style="5" customWidth="1"/>
    <col min="8" max="8" width="15" style="5" customWidth="1"/>
    <col min="9" max="9" width="17.140625" style="5" customWidth="1"/>
    <col min="10" max="10" width="21.28515625" style="5" customWidth="1"/>
    <col min="11" max="11" width="11.42578125" style="5"/>
    <col min="12" max="12" width="50" style="1" customWidth="1"/>
    <col min="13" max="16384" width="11.42578125" style="1"/>
  </cols>
  <sheetData>
    <row r="1" spans="1:11" ht="146.25" customHeight="1" thickBot="1" x14ac:dyDescent="0.3">
      <c r="A1" s="103" t="s">
        <v>91</v>
      </c>
      <c r="B1" s="104"/>
      <c r="C1" s="104"/>
      <c r="D1" s="104"/>
      <c r="E1" s="104"/>
      <c r="F1" s="104"/>
      <c r="G1" s="104"/>
      <c r="H1" s="104"/>
      <c r="I1" s="104"/>
      <c r="J1" s="105"/>
      <c r="K1" s="48"/>
    </row>
    <row r="2" spans="1:11" ht="24" thickBot="1" x14ac:dyDescent="0.3">
      <c r="A2" s="92" t="s">
        <v>0</v>
      </c>
      <c r="B2" s="93"/>
      <c r="C2" s="93"/>
      <c r="D2" s="93"/>
      <c r="E2" s="93"/>
      <c r="F2" s="93"/>
      <c r="G2" s="93"/>
      <c r="H2" s="93"/>
      <c r="I2" s="93"/>
      <c r="J2" s="94"/>
      <c r="K2" s="48"/>
    </row>
    <row r="3" spans="1:11" x14ac:dyDescent="0.25">
      <c r="A3" s="2" t="s">
        <v>1</v>
      </c>
      <c r="B3" s="106" t="s">
        <v>2</v>
      </c>
      <c r="C3" s="106"/>
      <c r="D3" s="106"/>
      <c r="E3" s="106"/>
      <c r="F3" s="106"/>
      <c r="G3" s="106"/>
      <c r="H3" s="106"/>
      <c r="I3" s="106"/>
      <c r="J3" s="107"/>
      <c r="K3" s="48"/>
    </row>
    <row r="4" spans="1:11" ht="15" customHeight="1" x14ac:dyDescent="0.25">
      <c r="A4" s="3" t="s">
        <v>3</v>
      </c>
      <c r="B4" s="108" t="s">
        <v>4</v>
      </c>
      <c r="C4" s="108"/>
      <c r="D4" s="108"/>
      <c r="E4" s="108"/>
      <c r="F4" s="108"/>
      <c r="G4" s="108"/>
      <c r="H4" s="108"/>
      <c r="I4" s="108"/>
      <c r="J4" s="109"/>
      <c r="K4" s="48"/>
    </row>
    <row r="5" spans="1:11" x14ac:dyDescent="0.25">
      <c r="A5" s="3" t="s">
        <v>5</v>
      </c>
      <c r="B5" s="108" t="s">
        <v>4</v>
      </c>
      <c r="C5" s="108"/>
      <c r="D5" s="108"/>
      <c r="E5" s="108"/>
      <c r="F5" s="108"/>
      <c r="G5" s="108"/>
      <c r="H5" s="108"/>
      <c r="I5" s="108"/>
      <c r="J5" s="109"/>
      <c r="K5" s="48"/>
    </row>
    <row r="6" spans="1:11" ht="31.5" customHeight="1" x14ac:dyDescent="0.25">
      <c r="A6" s="4" t="s">
        <v>6</v>
      </c>
      <c r="B6" s="110" t="s">
        <v>7</v>
      </c>
      <c r="C6" s="110"/>
      <c r="D6" s="110"/>
      <c r="E6" s="110"/>
      <c r="F6" s="110"/>
      <c r="G6" s="110"/>
      <c r="H6" s="110"/>
      <c r="I6" s="110"/>
      <c r="J6" s="111"/>
    </row>
    <row r="7" spans="1:11" ht="33.75" customHeight="1" thickBot="1" x14ac:dyDescent="0.3">
      <c r="A7" s="6" t="s">
        <v>8</v>
      </c>
      <c r="B7" s="90" t="s">
        <v>9</v>
      </c>
      <c r="C7" s="90"/>
      <c r="D7" s="90"/>
      <c r="E7" s="90"/>
      <c r="F7" s="90"/>
      <c r="G7" s="90"/>
      <c r="H7" s="90"/>
      <c r="I7" s="90"/>
      <c r="J7" s="91"/>
    </row>
    <row r="8" spans="1:11" ht="24" thickBot="1" x14ac:dyDescent="0.3">
      <c r="A8" s="92" t="s">
        <v>10</v>
      </c>
      <c r="B8" s="93"/>
      <c r="C8" s="93"/>
      <c r="D8" s="93"/>
      <c r="E8" s="93"/>
      <c r="F8" s="93"/>
      <c r="G8" s="93"/>
      <c r="H8" s="93"/>
      <c r="I8" s="93"/>
      <c r="J8" s="94"/>
    </row>
    <row r="9" spans="1:11" ht="21.75" customHeight="1" x14ac:dyDescent="0.25">
      <c r="A9" s="95" t="s">
        <v>11</v>
      </c>
      <c r="B9" s="96"/>
      <c r="C9" s="96"/>
      <c r="D9" s="96"/>
      <c r="E9" s="96"/>
      <c r="F9" s="96"/>
      <c r="G9" s="96"/>
      <c r="H9" s="96"/>
      <c r="I9" s="96"/>
      <c r="J9" s="97"/>
    </row>
    <row r="10" spans="1:11" ht="54" customHeight="1" x14ac:dyDescent="0.25">
      <c r="A10" s="7" t="s">
        <v>12</v>
      </c>
      <c r="B10" s="98" t="s">
        <v>13</v>
      </c>
      <c r="C10" s="98"/>
      <c r="D10" s="98"/>
      <c r="E10" s="98"/>
      <c r="F10" s="98"/>
      <c r="G10" s="98"/>
      <c r="H10" s="98"/>
      <c r="I10" s="98"/>
      <c r="J10" s="99"/>
    </row>
    <row r="11" spans="1:11" ht="24" customHeight="1" x14ac:dyDescent="0.25">
      <c r="A11" s="7" t="s">
        <v>14</v>
      </c>
      <c r="B11" s="98" t="s">
        <v>15</v>
      </c>
      <c r="C11" s="98"/>
      <c r="D11" s="98"/>
      <c r="E11" s="98"/>
      <c r="F11" s="98"/>
      <c r="G11" s="98"/>
      <c r="H11" s="98"/>
      <c r="I11" s="98"/>
      <c r="J11" s="99"/>
    </row>
    <row r="12" spans="1:11" ht="30.75" customHeight="1" x14ac:dyDescent="0.25">
      <c r="A12" s="100" t="s">
        <v>16</v>
      </c>
      <c r="B12" s="101"/>
      <c r="C12" s="101"/>
      <c r="D12" s="101"/>
      <c r="E12" s="101"/>
      <c r="F12" s="101"/>
      <c r="G12" s="101"/>
      <c r="H12" s="101"/>
      <c r="I12" s="101"/>
      <c r="J12" s="102"/>
    </row>
    <row r="13" spans="1:11" x14ac:dyDescent="0.25">
      <c r="A13" s="122" t="s">
        <v>17</v>
      </c>
      <c r="B13" s="123"/>
      <c r="C13" s="123"/>
      <c r="D13" s="123"/>
      <c r="E13" s="123"/>
      <c r="F13" s="123"/>
      <c r="G13" s="123"/>
      <c r="H13" s="123"/>
      <c r="I13" s="123"/>
      <c r="J13" s="124"/>
      <c r="K13" s="48"/>
    </row>
    <row r="14" spans="1:11" ht="15" customHeight="1" x14ac:dyDescent="0.25">
      <c r="A14" s="125" t="s">
        <v>18</v>
      </c>
      <c r="B14" s="126"/>
      <c r="C14" s="126" t="s">
        <v>19</v>
      </c>
      <c r="D14" s="126"/>
      <c r="E14" s="126"/>
      <c r="F14" s="126" t="s">
        <v>20</v>
      </c>
      <c r="G14" s="126"/>
      <c r="H14" s="126"/>
      <c r="I14" s="126" t="s">
        <v>21</v>
      </c>
      <c r="J14" s="127"/>
    </row>
    <row r="15" spans="1:11" s="8" customFormat="1" x14ac:dyDescent="0.25">
      <c r="A15" s="128">
        <v>3450000</v>
      </c>
      <c r="B15" s="129"/>
      <c r="C15" s="130">
        <v>2050000</v>
      </c>
      <c r="D15" s="131"/>
      <c r="E15" s="129"/>
      <c r="F15" s="130">
        <v>149390</v>
      </c>
      <c r="G15" s="131"/>
      <c r="H15" s="129"/>
      <c r="I15" s="132">
        <f>+F15/C15</f>
        <v>7.2873170731707321E-2</v>
      </c>
      <c r="J15" s="133"/>
      <c r="K15" s="49"/>
    </row>
    <row r="16" spans="1:11" ht="16.5" thickBot="1" x14ac:dyDescent="0.3">
      <c r="A16" s="112" t="s">
        <v>22</v>
      </c>
      <c r="B16" s="113"/>
      <c r="C16" s="113"/>
      <c r="D16" s="113"/>
      <c r="E16" s="113"/>
      <c r="F16" s="113"/>
      <c r="G16" s="113"/>
      <c r="H16" s="113"/>
      <c r="I16" s="113"/>
      <c r="J16" s="114"/>
      <c r="K16" s="48"/>
    </row>
    <row r="17" spans="1:12" ht="15.75" customHeight="1" thickBot="1" x14ac:dyDescent="0.3">
      <c r="A17" s="115"/>
      <c r="B17" s="116"/>
      <c r="C17" s="117" t="s">
        <v>23</v>
      </c>
      <c r="D17" s="118"/>
      <c r="E17" s="119" t="s">
        <v>24</v>
      </c>
      <c r="F17" s="118"/>
      <c r="G17" s="119" t="s">
        <v>25</v>
      </c>
      <c r="H17" s="118"/>
      <c r="I17" s="120" t="s">
        <v>26</v>
      </c>
      <c r="J17" s="121"/>
    </row>
    <row r="18" spans="1:12" ht="31.5" x14ac:dyDescent="0.25">
      <c r="A18" s="9" t="s">
        <v>27</v>
      </c>
      <c r="B18" s="10" t="s">
        <v>28</v>
      </c>
      <c r="C18" s="10" t="s">
        <v>29</v>
      </c>
      <c r="D18" s="10" t="s">
        <v>30</v>
      </c>
      <c r="E18" s="10" t="s">
        <v>31</v>
      </c>
      <c r="F18" s="10" t="s">
        <v>32</v>
      </c>
      <c r="G18" s="10" t="s">
        <v>33</v>
      </c>
      <c r="H18" s="10" t="s">
        <v>34</v>
      </c>
      <c r="I18" s="10" t="s">
        <v>35</v>
      </c>
      <c r="J18" s="11" t="s">
        <v>36</v>
      </c>
    </row>
    <row r="19" spans="1:12" s="18" customFormat="1" ht="69" customHeight="1" x14ac:dyDescent="0.25">
      <c r="A19" s="12" t="s">
        <v>37</v>
      </c>
      <c r="B19" s="13" t="s">
        <v>38</v>
      </c>
      <c r="C19" s="14">
        <v>100</v>
      </c>
      <c r="D19" s="14">
        <v>2050000</v>
      </c>
      <c r="E19" s="14">
        <v>17664</v>
      </c>
      <c r="F19" s="14">
        <v>954166.67</v>
      </c>
      <c r="G19" s="14">
        <v>53614</v>
      </c>
      <c r="H19" s="15">
        <v>0</v>
      </c>
      <c r="I19" s="16">
        <f>+Tabla172412[[#This Row],[Física (E)]]/Tabla172412[[#This Row],[Física (C)]]</f>
        <v>3.0352128623188408</v>
      </c>
      <c r="J19" s="17">
        <f>+Tabla172412[[#This Row],[Financiera  (F)]]/Tabla172412[[#This Row],[Financiera (D)]]</f>
        <v>0</v>
      </c>
    </row>
    <row r="20" spans="1:12" x14ac:dyDescent="0.25">
      <c r="A20" s="137" t="s">
        <v>39</v>
      </c>
      <c r="B20" s="138"/>
      <c r="C20" s="138"/>
      <c r="D20" s="138"/>
      <c r="E20" s="138"/>
      <c r="F20" s="138"/>
      <c r="G20" s="138"/>
      <c r="H20" s="138"/>
      <c r="I20" s="138"/>
      <c r="J20" s="139"/>
    </row>
    <row r="21" spans="1:12" ht="75" customHeight="1" x14ac:dyDescent="0.25">
      <c r="A21" s="19" t="s">
        <v>40</v>
      </c>
      <c r="B21" s="140" t="s">
        <v>92</v>
      </c>
      <c r="C21" s="140"/>
      <c r="D21" s="140"/>
      <c r="E21" s="140"/>
      <c r="F21" s="140"/>
      <c r="G21" s="140"/>
      <c r="H21" s="140"/>
      <c r="I21" s="140"/>
      <c r="J21" s="141"/>
    </row>
    <row r="22" spans="1:12" ht="89.25" customHeight="1" x14ac:dyDescent="0.25">
      <c r="A22" s="19" t="s">
        <v>41</v>
      </c>
      <c r="B22" s="142" t="s">
        <v>93</v>
      </c>
      <c r="C22" s="142"/>
      <c r="D22" s="142"/>
      <c r="E22" s="142"/>
      <c r="F22" s="142"/>
      <c r="G22" s="142"/>
      <c r="H22" s="142"/>
      <c r="I22" s="142"/>
      <c r="J22" s="143"/>
      <c r="L22" s="20"/>
    </row>
    <row r="23" spans="1:12" ht="111.75" customHeight="1" x14ac:dyDescent="0.25">
      <c r="A23" s="19" t="s">
        <v>42</v>
      </c>
      <c r="B23" s="142" t="s">
        <v>43</v>
      </c>
      <c r="C23" s="142"/>
      <c r="D23" s="142"/>
      <c r="E23" s="142"/>
      <c r="F23" s="142"/>
      <c r="G23" s="142"/>
      <c r="H23" s="142"/>
      <c r="I23" s="142"/>
      <c r="J23" s="143"/>
      <c r="L23" s="20"/>
    </row>
    <row r="24" spans="1:12" s="5" customFormat="1" ht="34.5" customHeight="1" x14ac:dyDescent="0.25">
      <c r="A24" s="100" t="s">
        <v>44</v>
      </c>
      <c r="B24" s="101"/>
      <c r="C24" s="101"/>
      <c r="D24" s="101"/>
      <c r="E24" s="101"/>
      <c r="F24" s="101"/>
      <c r="G24" s="101"/>
      <c r="H24" s="101"/>
      <c r="I24" s="101"/>
      <c r="J24" s="102"/>
      <c r="L24" s="1"/>
    </row>
    <row r="25" spans="1:12" ht="33" customHeight="1" x14ac:dyDescent="0.25">
      <c r="A25" s="19" t="s">
        <v>45</v>
      </c>
      <c r="B25" s="98" t="s">
        <v>46</v>
      </c>
      <c r="C25" s="98"/>
      <c r="D25" s="98"/>
      <c r="E25" s="98"/>
      <c r="F25" s="98"/>
      <c r="G25" s="98"/>
      <c r="H25" s="98"/>
      <c r="I25" s="98"/>
      <c r="J25" s="99"/>
    </row>
    <row r="26" spans="1:12" ht="18.75" x14ac:dyDescent="0.25">
      <c r="A26" s="134" t="s">
        <v>47</v>
      </c>
      <c r="B26" s="135"/>
      <c r="C26" s="135"/>
      <c r="D26" s="135"/>
      <c r="E26" s="135"/>
      <c r="F26" s="135"/>
      <c r="G26" s="135"/>
      <c r="H26" s="135"/>
      <c r="I26" s="135"/>
      <c r="J26" s="136"/>
    </row>
    <row r="27" spans="1:12" s="5" customFormat="1" x14ac:dyDescent="0.25">
      <c r="A27" s="122" t="s">
        <v>17</v>
      </c>
      <c r="B27" s="123"/>
      <c r="C27" s="123"/>
      <c r="D27" s="123"/>
      <c r="E27" s="123"/>
      <c r="F27" s="123"/>
      <c r="G27" s="123"/>
      <c r="H27" s="123"/>
      <c r="I27" s="123"/>
      <c r="J27" s="124"/>
      <c r="L27" s="1"/>
    </row>
    <row r="28" spans="1:12" s="5" customFormat="1" x14ac:dyDescent="0.25">
      <c r="A28" s="125" t="s">
        <v>18</v>
      </c>
      <c r="B28" s="126"/>
      <c r="C28" s="126" t="s">
        <v>19</v>
      </c>
      <c r="D28" s="126"/>
      <c r="E28" s="126"/>
      <c r="F28" s="126" t="s">
        <v>20</v>
      </c>
      <c r="G28" s="126"/>
      <c r="H28" s="126"/>
      <c r="I28" s="126" t="s">
        <v>21</v>
      </c>
      <c r="J28" s="127"/>
      <c r="L28" s="1"/>
    </row>
    <row r="29" spans="1:12" s="5" customFormat="1" x14ac:dyDescent="0.25">
      <c r="A29" s="144">
        <v>100000</v>
      </c>
      <c r="B29" s="145"/>
      <c r="C29" s="145">
        <v>100000</v>
      </c>
      <c r="D29" s="145"/>
      <c r="E29" s="145"/>
      <c r="F29" s="145">
        <v>92062.5</v>
      </c>
      <c r="G29" s="145"/>
      <c r="H29" s="145"/>
      <c r="I29" s="146">
        <f>+F29/C29</f>
        <v>0.92062500000000003</v>
      </c>
      <c r="J29" s="147"/>
      <c r="L29" s="1"/>
    </row>
    <row r="30" spans="1:12" s="5" customFormat="1" ht="16.5" thickBot="1" x14ac:dyDescent="0.3">
      <c r="A30" s="112" t="s">
        <v>22</v>
      </c>
      <c r="B30" s="113"/>
      <c r="C30" s="113"/>
      <c r="D30" s="113"/>
      <c r="E30" s="113"/>
      <c r="F30" s="113"/>
      <c r="G30" s="113"/>
      <c r="H30" s="113"/>
      <c r="I30" s="113"/>
      <c r="J30" s="114"/>
      <c r="L30" s="1"/>
    </row>
    <row r="31" spans="1:12" s="5" customFormat="1" x14ac:dyDescent="0.25">
      <c r="A31" s="148"/>
      <c r="B31" s="149"/>
      <c r="C31" s="150" t="s">
        <v>23</v>
      </c>
      <c r="D31" s="151"/>
      <c r="E31" s="152" t="s">
        <v>24</v>
      </c>
      <c r="F31" s="151"/>
      <c r="G31" s="152" t="s">
        <v>25</v>
      </c>
      <c r="H31" s="151"/>
      <c r="I31" s="153" t="s">
        <v>26</v>
      </c>
      <c r="J31" s="154"/>
      <c r="L31" s="1"/>
    </row>
    <row r="32" spans="1:12" s="5" customFormat="1" ht="31.5" x14ac:dyDescent="0.25">
      <c r="A32" s="9" t="s">
        <v>27</v>
      </c>
      <c r="B32" s="10" t="s">
        <v>28</v>
      </c>
      <c r="C32" s="21" t="s">
        <v>29</v>
      </c>
      <c r="D32" s="22" t="s">
        <v>30</v>
      </c>
      <c r="E32" s="22" t="s">
        <v>31</v>
      </c>
      <c r="F32" s="22" t="s">
        <v>32</v>
      </c>
      <c r="G32" s="22" t="s">
        <v>33</v>
      </c>
      <c r="H32" s="22" t="s">
        <v>48</v>
      </c>
      <c r="I32" s="10" t="s">
        <v>35</v>
      </c>
      <c r="J32" s="11" t="s">
        <v>36</v>
      </c>
      <c r="L32" s="1"/>
    </row>
    <row r="33" spans="1:10" s="5" customFormat="1" ht="78" customHeight="1" x14ac:dyDescent="0.25">
      <c r="A33" s="12" t="s">
        <v>49</v>
      </c>
      <c r="B33" s="23" t="s">
        <v>50</v>
      </c>
      <c r="C33" s="14">
        <v>50</v>
      </c>
      <c r="D33" s="14">
        <v>100000</v>
      </c>
      <c r="E33" s="14">
        <v>10</v>
      </c>
      <c r="F33" s="15">
        <v>25000</v>
      </c>
      <c r="G33" s="24">
        <v>72</v>
      </c>
      <c r="H33" s="15">
        <v>8335</v>
      </c>
      <c r="I33" s="25">
        <f>+Tabla17613[[#This Row],[Física (E)]]/Tabla17613[[#This Row],[Física (C)]]</f>
        <v>7.2</v>
      </c>
      <c r="J33" s="26">
        <f>+Tabla17613[[#This Row],[Financiera (F)]]/Tabla17613[[#This Row],[Financiera (D)]]</f>
        <v>0.33339999999999997</v>
      </c>
    </row>
    <row r="34" spans="1:10" ht="18.75" x14ac:dyDescent="0.25">
      <c r="A34" s="159" t="s">
        <v>39</v>
      </c>
      <c r="B34" s="160"/>
      <c r="C34" s="160"/>
      <c r="D34" s="160"/>
      <c r="E34" s="160"/>
      <c r="F34" s="160"/>
      <c r="G34" s="160"/>
      <c r="H34" s="160"/>
      <c r="I34" s="160"/>
      <c r="J34" s="161"/>
    </row>
    <row r="35" spans="1:10" ht="71.25" customHeight="1" x14ac:dyDescent="0.25">
      <c r="A35" s="19" t="s">
        <v>51</v>
      </c>
      <c r="B35" s="162" t="s">
        <v>94</v>
      </c>
      <c r="C35" s="162"/>
      <c r="D35" s="162"/>
      <c r="E35" s="162"/>
      <c r="F35" s="162"/>
      <c r="G35" s="162"/>
      <c r="H35" s="162"/>
      <c r="I35" s="162"/>
      <c r="J35" s="163"/>
    </row>
    <row r="36" spans="1:10" ht="74.25" customHeight="1" x14ac:dyDescent="0.25">
      <c r="A36" s="27" t="s">
        <v>52</v>
      </c>
      <c r="B36" s="162" t="s">
        <v>95</v>
      </c>
      <c r="C36" s="162"/>
      <c r="D36" s="162"/>
      <c r="E36" s="162"/>
      <c r="F36" s="162"/>
      <c r="G36" s="162"/>
      <c r="H36" s="162"/>
      <c r="I36" s="162"/>
      <c r="J36" s="163"/>
    </row>
    <row r="37" spans="1:10" ht="96.75" customHeight="1" x14ac:dyDescent="0.25">
      <c r="A37" s="27" t="s">
        <v>42</v>
      </c>
      <c r="B37" s="162" t="s">
        <v>96</v>
      </c>
      <c r="C37" s="162"/>
      <c r="D37" s="162"/>
      <c r="E37" s="162"/>
      <c r="F37" s="162"/>
      <c r="G37" s="162"/>
      <c r="H37" s="162"/>
      <c r="I37" s="162"/>
      <c r="J37" s="163"/>
    </row>
    <row r="38" spans="1:10" ht="19.5" customHeight="1" x14ac:dyDescent="0.25">
      <c r="A38" s="164" t="s">
        <v>53</v>
      </c>
      <c r="B38" s="165"/>
      <c r="C38" s="165"/>
      <c r="D38" s="165"/>
      <c r="E38" s="165"/>
      <c r="F38" s="165"/>
      <c r="G38" s="165"/>
      <c r="H38" s="165"/>
      <c r="I38" s="165"/>
      <c r="J38" s="166"/>
    </row>
    <row r="39" spans="1:10" ht="67.5" customHeight="1" x14ac:dyDescent="0.25">
      <c r="A39" s="7" t="s">
        <v>12</v>
      </c>
      <c r="B39" s="167" t="s">
        <v>54</v>
      </c>
      <c r="C39" s="167"/>
      <c r="D39" s="167"/>
      <c r="E39" s="167"/>
      <c r="F39" s="167"/>
      <c r="G39" s="167"/>
      <c r="H39" s="167"/>
      <c r="I39" s="167"/>
      <c r="J39" s="168"/>
    </row>
    <row r="40" spans="1:10" ht="20.25" customHeight="1" x14ac:dyDescent="0.25">
      <c r="A40" s="7" t="s">
        <v>14</v>
      </c>
      <c r="B40" s="98" t="s">
        <v>55</v>
      </c>
      <c r="C40" s="98"/>
      <c r="D40" s="98"/>
      <c r="E40" s="98"/>
      <c r="F40" s="98"/>
      <c r="G40" s="98"/>
      <c r="H40" s="98"/>
      <c r="I40" s="98"/>
      <c r="J40" s="99"/>
    </row>
    <row r="41" spans="1:10" ht="20.25" customHeight="1" x14ac:dyDescent="0.25">
      <c r="A41" s="7" t="s">
        <v>56</v>
      </c>
      <c r="B41" s="155" t="s">
        <v>57</v>
      </c>
      <c r="C41" s="98"/>
      <c r="D41" s="98"/>
      <c r="E41" s="98"/>
      <c r="F41" s="98"/>
      <c r="G41" s="98"/>
      <c r="H41" s="98"/>
      <c r="I41" s="98"/>
      <c r="J41" s="99"/>
    </row>
    <row r="42" spans="1:10" ht="20.25" customHeight="1" x14ac:dyDescent="0.25">
      <c r="A42" s="156"/>
      <c r="B42" s="157"/>
      <c r="C42" s="157"/>
      <c r="D42" s="157"/>
      <c r="E42" s="157"/>
      <c r="F42" s="157"/>
      <c r="G42" s="157"/>
      <c r="H42" s="157"/>
      <c r="I42" s="157"/>
      <c r="J42" s="158"/>
    </row>
    <row r="43" spans="1:10" s="5" customFormat="1" ht="27" customHeight="1" x14ac:dyDescent="0.25">
      <c r="A43" s="100" t="s">
        <v>58</v>
      </c>
      <c r="B43" s="101"/>
      <c r="C43" s="101"/>
      <c r="D43" s="101"/>
      <c r="E43" s="101"/>
      <c r="F43" s="101"/>
      <c r="G43" s="101"/>
      <c r="H43" s="101"/>
      <c r="I43" s="101"/>
      <c r="J43" s="102"/>
    </row>
    <row r="44" spans="1:10" s="5" customFormat="1" ht="26.25" customHeight="1" x14ac:dyDescent="0.25">
      <c r="A44" s="19" t="s">
        <v>45</v>
      </c>
      <c r="B44" s="98" t="s">
        <v>59</v>
      </c>
      <c r="C44" s="98"/>
      <c r="D44" s="98"/>
      <c r="E44" s="98"/>
      <c r="F44" s="98"/>
      <c r="G44" s="98"/>
      <c r="H44" s="98"/>
      <c r="I44" s="98"/>
      <c r="J44" s="99"/>
    </row>
    <row r="45" spans="1:10" s="5" customFormat="1" ht="18.75" x14ac:dyDescent="0.25">
      <c r="A45" s="134" t="s">
        <v>47</v>
      </c>
      <c r="B45" s="135"/>
      <c r="C45" s="135"/>
      <c r="D45" s="135"/>
      <c r="E45" s="135"/>
      <c r="F45" s="135"/>
      <c r="G45" s="135"/>
      <c r="H45" s="135"/>
      <c r="I45" s="135"/>
      <c r="J45" s="136"/>
    </row>
    <row r="46" spans="1:10" s="5" customFormat="1" x14ac:dyDescent="0.25">
      <c r="A46" s="122" t="s">
        <v>17</v>
      </c>
      <c r="B46" s="123"/>
      <c r="C46" s="123"/>
      <c r="D46" s="123"/>
      <c r="E46" s="123"/>
      <c r="F46" s="123"/>
      <c r="G46" s="123"/>
      <c r="H46" s="123"/>
      <c r="I46" s="123"/>
      <c r="J46" s="124"/>
    </row>
    <row r="47" spans="1:10" s="5" customFormat="1" x14ac:dyDescent="0.25">
      <c r="A47" s="125" t="s">
        <v>18</v>
      </c>
      <c r="B47" s="126"/>
      <c r="C47" s="126" t="s">
        <v>19</v>
      </c>
      <c r="D47" s="126"/>
      <c r="E47" s="126"/>
      <c r="F47" s="126" t="s">
        <v>20</v>
      </c>
      <c r="G47" s="126"/>
      <c r="H47" s="126"/>
      <c r="I47" s="126" t="s">
        <v>21</v>
      </c>
      <c r="J47" s="127"/>
    </row>
    <row r="48" spans="1:10" s="5" customFormat="1" x14ac:dyDescent="0.25">
      <c r="A48" s="173">
        <v>2051192175</v>
      </c>
      <c r="B48" s="174"/>
      <c r="C48" s="174">
        <v>2051192175</v>
      </c>
      <c r="D48" s="174"/>
      <c r="E48" s="174"/>
      <c r="F48" s="174">
        <v>591673315.28999996</v>
      </c>
      <c r="G48" s="174"/>
      <c r="H48" s="174"/>
      <c r="I48" s="175">
        <f>F48/C48</f>
        <v>0.28845337969856477</v>
      </c>
      <c r="J48" s="176"/>
    </row>
    <row r="49" spans="1:12" ht="16.5" thickBot="1" x14ac:dyDescent="0.3">
      <c r="A49" s="112" t="s">
        <v>22</v>
      </c>
      <c r="B49" s="113"/>
      <c r="C49" s="113"/>
      <c r="D49" s="113"/>
      <c r="E49" s="113"/>
      <c r="F49" s="113"/>
      <c r="G49" s="113"/>
      <c r="H49" s="113"/>
      <c r="I49" s="113"/>
      <c r="J49" s="114"/>
    </row>
    <row r="50" spans="1:12" x14ac:dyDescent="0.25">
      <c r="A50" s="28"/>
      <c r="B50" s="29"/>
      <c r="C50" s="169" t="s">
        <v>23</v>
      </c>
      <c r="D50" s="170"/>
      <c r="E50" s="171" t="s">
        <v>24</v>
      </c>
      <c r="F50" s="170"/>
      <c r="G50" s="171" t="s">
        <v>25</v>
      </c>
      <c r="H50" s="170"/>
      <c r="I50" s="153" t="s">
        <v>26</v>
      </c>
      <c r="J50" s="172"/>
    </row>
    <row r="51" spans="1:12" ht="31.5" x14ac:dyDescent="0.25">
      <c r="A51" s="9" t="s">
        <v>27</v>
      </c>
      <c r="B51" s="10" t="s">
        <v>28</v>
      </c>
      <c r="C51" s="10" t="s">
        <v>29</v>
      </c>
      <c r="D51" s="10" t="s">
        <v>30</v>
      </c>
      <c r="E51" s="10" t="s">
        <v>31</v>
      </c>
      <c r="F51" s="10" t="s">
        <v>32</v>
      </c>
      <c r="G51" s="10" t="s">
        <v>33</v>
      </c>
      <c r="H51" s="10" t="s">
        <v>34</v>
      </c>
      <c r="I51" s="10" t="s">
        <v>35</v>
      </c>
      <c r="J51" s="11" t="s">
        <v>36</v>
      </c>
    </row>
    <row r="52" spans="1:12" ht="31.5" x14ac:dyDescent="0.25">
      <c r="A52" s="30" t="s">
        <v>60</v>
      </c>
      <c r="B52" s="31" t="s">
        <v>61</v>
      </c>
      <c r="C52" s="32">
        <v>450000</v>
      </c>
      <c r="D52" s="32">
        <f>+C48</f>
        <v>2051192175</v>
      </c>
      <c r="E52" s="32">
        <v>106932</v>
      </c>
      <c r="F52" s="15">
        <v>20000000</v>
      </c>
      <c r="G52" s="33">
        <v>122388</v>
      </c>
      <c r="H52" s="15">
        <v>78314169.859999999</v>
      </c>
      <c r="I52" s="16">
        <f>+Tabla1345814[[#This Row],[Física (E)]]/Tabla1345814[[#This Row],[Física (C)]]</f>
        <v>1.1445404556166536</v>
      </c>
      <c r="J52" s="26">
        <f>+Tabla1345814[[#This Row],[Financiera  (F)]]/Tabla1345814[[#This Row],[Financiera (D)]]</f>
        <v>3.9157084929999999</v>
      </c>
    </row>
    <row r="53" spans="1:12" ht="18.75" x14ac:dyDescent="0.25">
      <c r="A53" s="159" t="s">
        <v>39</v>
      </c>
      <c r="B53" s="160"/>
      <c r="C53" s="160"/>
      <c r="D53" s="160"/>
      <c r="E53" s="160"/>
      <c r="F53" s="160"/>
      <c r="G53" s="160"/>
      <c r="H53" s="160"/>
      <c r="I53" s="160"/>
      <c r="J53" s="161"/>
    </row>
    <row r="54" spans="1:12" ht="54.75" customHeight="1" x14ac:dyDescent="0.25">
      <c r="A54" s="19" t="s">
        <v>51</v>
      </c>
      <c r="B54" s="162" t="s">
        <v>62</v>
      </c>
      <c r="C54" s="162"/>
      <c r="D54" s="162"/>
      <c r="E54" s="162"/>
      <c r="F54" s="162"/>
      <c r="G54" s="162"/>
      <c r="H54" s="162"/>
      <c r="I54" s="162"/>
      <c r="J54" s="163"/>
    </row>
    <row r="55" spans="1:12" ht="108.75" customHeight="1" x14ac:dyDescent="0.25">
      <c r="A55" s="27" t="s">
        <v>52</v>
      </c>
      <c r="B55" s="142" t="s">
        <v>97</v>
      </c>
      <c r="C55" s="142"/>
      <c r="D55" s="142"/>
      <c r="E55" s="142"/>
      <c r="F55" s="142"/>
      <c r="G55" s="142"/>
      <c r="H55" s="142"/>
      <c r="I55" s="142"/>
      <c r="J55" s="143"/>
      <c r="L55" s="34"/>
    </row>
    <row r="56" spans="1:12" ht="75" customHeight="1" x14ac:dyDescent="0.25">
      <c r="A56" s="27" t="s">
        <v>42</v>
      </c>
      <c r="B56" s="142" t="s">
        <v>98</v>
      </c>
      <c r="C56" s="142"/>
      <c r="D56" s="142"/>
      <c r="E56" s="142"/>
      <c r="F56" s="142"/>
      <c r="G56" s="142"/>
      <c r="H56" s="142"/>
      <c r="I56" s="142"/>
      <c r="J56" s="143"/>
    </row>
    <row r="57" spans="1:12" ht="20.25" customHeight="1" x14ac:dyDescent="0.25">
      <c r="A57" s="156"/>
      <c r="B57" s="157"/>
      <c r="C57" s="157"/>
      <c r="D57" s="157"/>
      <c r="E57" s="157"/>
      <c r="F57" s="157"/>
      <c r="G57" s="157"/>
      <c r="H57" s="157"/>
      <c r="I57" s="157"/>
      <c r="J57" s="158"/>
    </row>
    <row r="58" spans="1:12" ht="30" customHeight="1" x14ac:dyDescent="0.25">
      <c r="A58" s="100" t="s">
        <v>63</v>
      </c>
      <c r="B58" s="101"/>
      <c r="C58" s="101"/>
      <c r="D58" s="101"/>
      <c r="E58" s="101"/>
      <c r="F58" s="101"/>
      <c r="G58" s="101"/>
      <c r="H58" s="101"/>
      <c r="I58" s="101"/>
      <c r="J58" s="102"/>
    </row>
    <row r="59" spans="1:12" x14ac:dyDescent="0.25">
      <c r="A59" s="19" t="s">
        <v>45</v>
      </c>
      <c r="B59" s="98" t="s">
        <v>64</v>
      </c>
      <c r="C59" s="98"/>
      <c r="D59" s="98"/>
      <c r="E59" s="98"/>
      <c r="F59" s="98"/>
      <c r="G59" s="98"/>
      <c r="H59" s="98"/>
      <c r="I59" s="98"/>
      <c r="J59" s="99"/>
    </row>
    <row r="60" spans="1:12" ht="18.75" x14ac:dyDescent="0.25">
      <c r="A60" s="134" t="s">
        <v>47</v>
      </c>
      <c r="B60" s="135"/>
      <c r="C60" s="135"/>
      <c r="D60" s="135"/>
      <c r="E60" s="135"/>
      <c r="F60" s="135"/>
      <c r="G60" s="135"/>
      <c r="H60" s="135"/>
      <c r="I60" s="135"/>
      <c r="J60" s="136"/>
    </row>
    <row r="61" spans="1:12" x14ac:dyDescent="0.25">
      <c r="A61" s="122" t="s">
        <v>17</v>
      </c>
      <c r="B61" s="123"/>
      <c r="C61" s="123"/>
      <c r="D61" s="123"/>
      <c r="E61" s="123"/>
      <c r="F61" s="123"/>
      <c r="G61" s="123"/>
      <c r="H61" s="123"/>
      <c r="I61" s="123"/>
      <c r="J61" s="124"/>
    </row>
    <row r="62" spans="1:12" x14ac:dyDescent="0.25">
      <c r="A62" s="125" t="s">
        <v>18</v>
      </c>
      <c r="B62" s="126"/>
      <c r="C62" s="126" t="s">
        <v>19</v>
      </c>
      <c r="D62" s="126"/>
      <c r="E62" s="126"/>
      <c r="F62" s="126" t="s">
        <v>20</v>
      </c>
      <c r="G62" s="126"/>
      <c r="H62" s="126"/>
      <c r="I62" s="126" t="s">
        <v>21</v>
      </c>
      <c r="J62" s="127"/>
    </row>
    <row r="63" spans="1:12" x14ac:dyDescent="0.25">
      <c r="A63" s="173">
        <v>700000</v>
      </c>
      <c r="B63" s="174"/>
      <c r="C63" s="174">
        <v>934000</v>
      </c>
      <c r="D63" s="174"/>
      <c r="E63" s="174"/>
      <c r="F63" s="174">
        <v>99782.5</v>
      </c>
      <c r="G63" s="174"/>
      <c r="H63" s="174"/>
      <c r="I63" s="175">
        <f>F63/C63</f>
        <v>0.10683351177730192</v>
      </c>
      <c r="J63" s="176"/>
    </row>
    <row r="64" spans="1:12" ht="16.5" thickBot="1" x14ac:dyDescent="0.3">
      <c r="A64" s="112" t="s">
        <v>22</v>
      </c>
      <c r="B64" s="113"/>
      <c r="C64" s="113"/>
      <c r="D64" s="113"/>
      <c r="E64" s="113"/>
      <c r="F64" s="113"/>
      <c r="G64" s="113"/>
      <c r="H64" s="113"/>
      <c r="I64" s="113"/>
      <c r="J64" s="114"/>
    </row>
    <row r="65" spans="1:10" s="5" customFormat="1" x14ac:dyDescent="0.25">
      <c r="A65" s="177"/>
      <c r="B65" s="178"/>
      <c r="C65" s="169" t="s">
        <v>23</v>
      </c>
      <c r="D65" s="170"/>
      <c r="E65" s="171" t="s">
        <v>24</v>
      </c>
      <c r="F65" s="170"/>
      <c r="G65" s="171" t="s">
        <v>25</v>
      </c>
      <c r="H65" s="170"/>
      <c r="I65" s="153" t="s">
        <v>26</v>
      </c>
      <c r="J65" s="179"/>
    </row>
    <row r="66" spans="1:10" s="5" customFormat="1" ht="31.5" x14ac:dyDescent="0.25">
      <c r="A66" s="9" t="s">
        <v>27</v>
      </c>
      <c r="B66" s="10" t="s">
        <v>28</v>
      </c>
      <c r="C66" s="10" t="s">
        <v>29</v>
      </c>
      <c r="D66" s="10" t="s">
        <v>30</v>
      </c>
      <c r="E66" s="10" t="s">
        <v>31</v>
      </c>
      <c r="F66" s="10" t="s">
        <v>32</v>
      </c>
      <c r="G66" s="10" t="s">
        <v>33</v>
      </c>
      <c r="H66" s="10" t="s">
        <v>34</v>
      </c>
      <c r="I66" s="10" t="s">
        <v>35</v>
      </c>
      <c r="J66" s="11" t="s">
        <v>36</v>
      </c>
    </row>
    <row r="67" spans="1:10" s="5" customFormat="1" ht="68.25" customHeight="1" x14ac:dyDescent="0.25">
      <c r="A67" s="12" t="s">
        <v>65</v>
      </c>
      <c r="B67" s="35" t="s">
        <v>66</v>
      </c>
      <c r="C67" s="32">
        <v>120000</v>
      </c>
      <c r="D67" s="15">
        <f>+C63</f>
        <v>934000</v>
      </c>
      <c r="E67" s="14">
        <v>29713</v>
      </c>
      <c r="F67" s="15">
        <v>233333.33</v>
      </c>
      <c r="G67" s="36">
        <v>39416</v>
      </c>
      <c r="H67" s="15">
        <v>1350</v>
      </c>
      <c r="I67" s="16">
        <f>G67/E67</f>
        <v>1.3265573991182311</v>
      </c>
      <c r="J67" s="26">
        <f>+Tabla13459101112133915[[#This Row],[Financiera  (F)]]/Tabla13459101112133915[[#This Row],[Financiera (D)]]</f>
        <v>5.7857143683673487E-3</v>
      </c>
    </row>
    <row r="68" spans="1:10" ht="18.75" x14ac:dyDescent="0.25">
      <c r="A68" s="159" t="s">
        <v>39</v>
      </c>
      <c r="B68" s="160"/>
      <c r="C68" s="160"/>
      <c r="D68" s="160"/>
      <c r="E68" s="160"/>
      <c r="F68" s="160"/>
      <c r="G68" s="160"/>
      <c r="H68" s="160"/>
      <c r="I68" s="160"/>
      <c r="J68" s="161"/>
    </row>
    <row r="69" spans="1:10" ht="163.5" customHeight="1" x14ac:dyDescent="0.25">
      <c r="A69" s="19" t="s">
        <v>51</v>
      </c>
      <c r="B69" s="162" t="s">
        <v>99</v>
      </c>
      <c r="C69" s="162"/>
      <c r="D69" s="162"/>
      <c r="E69" s="162"/>
      <c r="F69" s="162"/>
      <c r="G69" s="162"/>
      <c r="H69" s="162"/>
      <c r="I69" s="162"/>
      <c r="J69" s="163"/>
    </row>
    <row r="70" spans="1:10" ht="102.75" customHeight="1" x14ac:dyDescent="0.25">
      <c r="A70" s="27" t="s">
        <v>52</v>
      </c>
      <c r="B70" s="142" t="s">
        <v>100</v>
      </c>
      <c r="C70" s="142"/>
      <c r="D70" s="142"/>
      <c r="E70" s="142"/>
      <c r="F70" s="142"/>
      <c r="G70" s="142"/>
      <c r="H70" s="142"/>
      <c r="I70" s="142"/>
      <c r="J70" s="143"/>
    </row>
    <row r="71" spans="1:10" ht="99" customHeight="1" x14ac:dyDescent="0.25">
      <c r="A71" s="27" t="s">
        <v>42</v>
      </c>
      <c r="B71" s="142" t="s">
        <v>101</v>
      </c>
      <c r="C71" s="142"/>
      <c r="D71" s="142"/>
      <c r="E71" s="142"/>
      <c r="F71" s="142"/>
      <c r="G71" s="142"/>
      <c r="H71" s="142"/>
      <c r="I71" s="142"/>
      <c r="J71" s="143"/>
    </row>
    <row r="72" spans="1:10" s="5" customFormat="1" ht="29.25" customHeight="1" x14ac:dyDescent="0.25">
      <c r="A72" s="100" t="s">
        <v>67</v>
      </c>
      <c r="B72" s="101"/>
      <c r="C72" s="101"/>
      <c r="D72" s="101"/>
      <c r="E72" s="101"/>
      <c r="F72" s="101"/>
      <c r="G72" s="101"/>
      <c r="H72" s="101"/>
      <c r="I72" s="101"/>
      <c r="J72" s="102"/>
    </row>
    <row r="73" spans="1:10" s="5" customFormat="1" ht="51.75" customHeight="1" x14ac:dyDescent="0.25">
      <c r="A73" s="19" t="s">
        <v>45</v>
      </c>
      <c r="B73" s="167" t="s">
        <v>68</v>
      </c>
      <c r="C73" s="167"/>
      <c r="D73" s="167"/>
      <c r="E73" s="167"/>
      <c r="F73" s="167"/>
      <c r="G73" s="167"/>
      <c r="H73" s="167"/>
      <c r="I73" s="167"/>
      <c r="J73" s="168"/>
    </row>
    <row r="74" spans="1:10" s="5" customFormat="1" ht="18.75" x14ac:dyDescent="0.25">
      <c r="A74" s="134" t="s">
        <v>47</v>
      </c>
      <c r="B74" s="135"/>
      <c r="C74" s="135"/>
      <c r="D74" s="135"/>
      <c r="E74" s="135"/>
      <c r="F74" s="135"/>
      <c r="G74" s="135"/>
      <c r="H74" s="135"/>
      <c r="I74" s="135"/>
      <c r="J74" s="136"/>
    </row>
    <row r="75" spans="1:10" s="5" customFormat="1" x14ac:dyDescent="0.25">
      <c r="A75" s="122" t="s">
        <v>17</v>
      </c>
      <c r="B75" s="123"/>
      <c r="C75" s="123"/>
      <c r="D75" s="123"/>
      <c r="E75" s="123"/>
      <c r="F75" s="123"/>
      <c r="G75" s="123"/>
      <c r="H75" s="123"/>
      <c r="I75" s="123"/>
      <c r="J75" s="124"/>
    </row>
    <row r="76" spans="1:10" s="5" customFormat="1" x14ac:dyDescent="0.25">
      <c r="A76" s="125" t="s">
        <v>18</v>
      </c>
      <c r="B76" s="126"/>
      <c r="C76" s="126" t="s">
        <v>19</v>
      </c>
      <c r="D76" s="126"/>
      <c r="E76" s="126"/>
      <c r="F76" s="126" t="s">
        <v>20</v>
      </c>
      <c r="G76" s="126"/>
      <c r="H76" s="126"/>
      <c r="I76" s="126" t="s">
        <v>21</v>
      </c>
      <c r="J76" s="127"/>
    </row>
    <row r="77" spans="1:10" s="5" customFormat="1" x14ac:dyDescent="0.25">
      <c r="A77" s="173">
        <v>500000000</v>
      </c>
      <c r="B77" s="174"/>
      <c r="C77" s="174">
        <v>625000000</v>
      </c>
      <c r="D77" s="174"/>
      <c r="E77" s="174"/>
      <c r="F77" s="174">
        <v>500000000</v>
      </c>
      <c r="G77" s="174"/>
      <c r="H77" s="174"/>
      <c r="I77" s="175">
        <f>F77/C77</f>
        <v>0.8</v>
      </c>
      <c r="J77" s="176"/>
    </row>
    <row r="78" spans="1:10" s="5" customFormat="1" ht="16.5" thickBot="1" x14ac:dyDescent="0.3">
      <c r="A78" s="112" t="s">
        <v>69</v>
      </c>
      <c r="B78" s="113"/>
      <c r="C78" s="113"/>
      <c r="D78" s="113"/>
      <c r="E78" s="113"/>
      <c r="F78" s="113"/>
      <c r="G78" s="113"/>
      <c r="H78" s="113"/>
      <c r="I78" s="113"/>
      <c r="J78" s="114"/>
    </row>
    <row r="79" spans="1:10" s="5" customFormat="1" x14ac:dyDescent="0.25">
      <c r="A79" s="177"/>
      <c r="B79" s="178"/>
      <c r="C79" s="169" t="s">
        <v>23</v>
      </c>
      <c r="D79" s="170"/>
      <c r="E79" s="171" t="s">
        <v>24</v>
      </c>
      <c r="F79" s="170"/>
      <c r="G79" s="171" t="s">
        <v>25</v>
      </c>
      <c r="H79" s="170"/>
      <c r="I79" s="153" t="s">
        <v>26</v>
      </c>
      <c r="J79" s="179"/>
    </row>
    <row r="80" spans="1:10" s="5" customFormat="1" ht="31.5" x14ac:dyDescent="0.25">
      <c r="A80" s="9" t="s">
        <v>27</v>
      </c>
      <c r="B80" s="10" t="s">
        <v>28</v>
      </c>
      <c r="C80" s="10" t="s">
        <v>29</v>
      </c>
      <c r="D80" s="10" t="s">
        <v>30</v>
      </c>
      <c r="E80" s="10" t="s">
        <v>31</v>
      </c>
      <c r="F80" s="10" t="s">
        <v>32</v>
      </c>
      <c r="G80" s="10" t="s">
        <v>33</v>
      </c>
      <c r="H80" s="10" t="s">
        <v>34</v>
      </c>
      <c r="I80" s="10" t="s">
        <v>35</v>
      </c>
      <c r="J80" s="11" t="s">
        <v>36</v>
      </c>
    </row>
    <row r="81" spans="1:11" ht="105" customHeight="1" x14ac:dyDescent="0.25">
      <c r="A81" s="12" t="s">
        <v>70</v>
      </c>
      <c r="B81" s="23" t="s">
        <v>71</v>
      </c>
      <c r="C81" s="37">
        <v>2</v>
      </c>
      <c r="D81" s="37">
        <f>+C77</f>
        <v>625000000</v>
      </c>
      <c r="E81" s="37">
        <v>0</v>
      </c>
      <c r="F81" s="14">
        <v>125000000</v>
      </c>
      <c r="G81" s="24">
        <v>1</v>
      </c>
      <c r="H81" s="14">
        <v>125000000</v>
      </c>
      <c r="I81" s="38" t="s">
        <v>72</v>
      </c>
      <c r="J81" s="26">
        <f>+Tabla13459101112131016[[#This Row],[Financiera  (F)]]/Tabla13459101112131016[[#This Row],[Financiera (D)]]</f>
        <v>1</v>
      </c>
    </row>
    <row r="82" spans="1:11" ht="18.75" x14ac:dyDescent="0.25">
      <c r="A82" s="159" t="s">
        <v>39</v>
      </c>
      <c r="B82" s="160"/>
      <c r="C82" s="160"/>
      <c r="D82" s="160"/>
      <c r="E82" s="160"/>
      <c r="F82" s="160"/>
      <c r="G82" s="160"/>
      <c r="H82" s="160"/>
      <c r="I82" s="160"/>
      <c r="J82" s="161"/>
    </row>
    <row r="83" spans="1:11" ht="105" customHeight="1" x14ac:dyDescent="0.25">
      <c r="A83" s="19" t="s">
        <v>51</v>
      </c>
      <c r="B83" s="167" t="s">
        <v>73</v>
      </c>
      <c r="C83" s="167"/>
      <c r="D83" s="167"/>
      <c r="E83" s="167"/>
      <c r="F83" s="167"/>
      <c r="G83" s="167"/>
      <c r="H83" s="167"/>
      <c r="I83" s="167"/>
      <c r="J83" s="168"/>
    </row>
    <row r="84" spans="1:11" ht="108" customHeight="1" x14ac:dyDescent="0.25">
      <c r="A84" s="27" t="s">
        <v>52</v>
      </c>
      <c r="B84" s="186" t="s">
        <v>102</v>
      </c>
      <c r="C84" s="186"/>
      <c r="D84" s="186"/>
      <c r="E84" s="186"/>
      <c r="F84" s="186"/>
      <c r="G84" s="186"/>
      <c r="H84" s="186"/>
      <c r="I84" s="186"/>
      <c r="J84" s="187"/>
    </row>
    <row r="85" spans="1:11" x14ac:dyDescent="0.25">
      <c r="A85" s="27" t="s">
        <v>74</v>
      </c>
      <c r="B85" s="186" t="s">
        <v>75</v>
      </c>
      <c r="C85" s="186"/>
      <c r="D85" s="186"/>
      <c r="E85" s="186"/>
      <c r="F85" s="186"/>
      <c r="G85" s="186"/>
      <c r="H85" s="186"/>
      <c r="I85" s="186"/>
      <c r="J85" s="187"/>
    </row>
    <row r="86" spans="1:11" x14ac:dyDescent="0.25">
      <c r="A86" s="39"/>
      <c r="B86" s="40"/>
      <c r="C86" s="40"/>
      <c r="D86" s="40"/>
      <c r="E86" s="40"/>
      <c r="F86" s="40"/>
      <c r="G86" s="40"/>
      <c r="H86" s="40"/>
      <c r="I86" s="40"/>
      <c r="J86" s="41"/>
    </row>
    <row r="87" spans="1:11" x14ac:dyDescent="0.25">
      <c r="A87" s="39"/>
      <c r="B87" s="40"/>
      <c r="C87" s="40"/>
      <c r="D87" s="40"/>
      <c r="E87" s="40"/>
      <c r="F87" s="40"/>
      <c r="G87" s="40"/>
      <c r="H87" s="40"/>
      <c r="I87" s="40"/>
      <c r="J87" s="41"/>
    </row>
    <row r="88" spans="1:11" s="43" customFormat="1" ht="18.75" x14ac:dyDescent="0.3">
      <c r="A88" s="188" t="s">
        <v>76</v>
      </c>
      <c r="B88" s="189"/>
      <c r="C88" s="189"/>
      <c r="D88" s="189"/>
      <c r="E88" s="42"/>
      <c r="F88" s="189" t="s">
        <v>77</v>
      </c>
      <c r="G88" s="189"/>
      <c r="H88" s="189"/>
      <c r="I88" s="189"/>
      <c r="J88" s="190"/>
      <c r="K88" s="51"/>
    </row>
    <row r="89" spans="1:11" ht="49.5" customHeight="1" x14ac:dyDescent="0.25">
      <c r="A89" s="39"/>
      <c r="B89" s="40"/>
      <c r="C89" s="40"/>
      <c r="D89" s="40"/>
      <c r="E89" s="40"/>
      <c r="F89" s="40"/>
      <c r="G89" s="40"/>
      <c r="H89" s="40"/>
      <c r="I89" s="40"/>
      <c r="J89" s="41"/>
    </row>
    <row r="90" spans="1:11" ht="24.75" customHeight="1" x14ac:dyDescent="0.25">
      <c r="A90" s="39"/>
      <c r="B90" s="40"/>
      <c r="C90" s="40"/>
      <c r="D90" s="40"/>
      <c r="E90" s="40"/>
      <c r="G90" s="40"/>
      <c r="H90" s="40"/>
      <c r="I90" s="40"/>
      <c r="J90" s="41"/>
    </row>
    <row r="91" spans="1:11" s="43" customFormat="1" ht="18.75" x14ac:dyDescent="0.3">
      <c r="A91" s="180" t="s">
        <v>103</v>
      </c>
      <c r="B91" s="181"/>
      <c r="C91" s="181"/>
      <c r="D91" s="181"/>
      <c r="E91" s="42"/>
      <c r="F91" s="181" t="s">
        <v>78</v>
      </c>
      <c r="G91" s="181"/>
      <c r="H91" s="181"/>
      <c r="I91" s="181"/>
      <c r="J91" s="182"/>
      <c r="K91" s="51"/>
    </row>
    <row r="92" spans="1:11" x14ac:dyDescent="0.25">
      <c r="A92" s="183" t="s">
        <v>79</v>
      </c>
      <c r="B92" s="184"/>
      <c r="C92" s="184"/>
      <c r="D92" s="184"/>
      <c r="E92" s="40"/>
      <c r="F92" s="184" t="s">
        <v>80</v>
      </c>
      <c r="G92" s="184"/>
      <c r="H92" s="184"/>
      <c r="I92" s="184"/>
      <c r="J92" s="185"/>
    </row>
    <row r="93" spans="1:11" ht="16.5" thickBot="1" x14ac:dyDescent="0.3">
      <c r="A93" s="44"/>
      <c r="B93" s="45"/>
      <c r="C93" s="45"/>
      <c r="D93" s="45"/>
      <c r="E93" s="45"/>
      <c r="F93" s="45"/>
      <c r="G93" s="45"/>
      <c r="H93" s="45"/>
      <c r="I93" s="45"/>
      <c r="J93" s="46"/>
    </row>
  </sheetData>
  <mergeCells count="130">
    <mergeCell ref="A91:D91"/>
    <mergeCell ref="F91:J91"/>
    <mergeCell ref="A92:D92"/>
    <mergeCell ref="F92:J92"/>
    <mergeCell ref="A82:J82"/>
    <mergeCell ref="B83:J83"/>
    <mergeCell ref="B84:J84"/>
    <mergeCell ref="B85:J85"/>
    <mergeCell ref="A88:D88"/>
    <mergeCell ref="F88:J88"/>
    <mergeCell ref="A77:B77"/>
    <mergeCell ref="C77:E77"/>
    <mergeCell ref="F77:H77"/>
    <mergeCell ref="I77:J77"/>
    <mergeCell ref="A78:J78"/>
    <mergeCell ref="A79:B79"/>
    <mergeCell ref="C79:D79"/>
    <mergeCell ref="E79:F79"/>
    <mergeCell ref="G79:H79"/>
    <mergeCell ref="I79:J79"/>
    <mergeCell ref="A74:J74"/>
    <mergeCell ref="A75:J75"/>
    <mergeCell ref="A76:B76"/>
    <mergeCell ref="C76:E76"/>
    <mergeCell ref="F76:H76"/>
    <mergeCell ref="I76:J76"/>
    <mergeCell ref="A68:J68"/>
    <mergeCell ref="B69:J69"/>
    <mergeCell ref="B70:J70"/>
    <mergeCell ref="B71:J71"/>
    <mergeCell ref="A72:J72"/>
    <mergeCell ref="B73:J73"/>
    <mergeCell ref="A63:B63"/>
    <mergeCell ref="C63:E63"/>
    <mergeCell ref="F63:H63"/>
    <mergeCell ref="I63:J63"/>
    <mergeCell ref="A64:J64"/>
    <mergeCell ref="A65:B65"/>
    <mergeCell ref="C65:D65"/>
    <mergeCell ref="E65:F65"/>
    <mergeCell ref="G65:H65"/>
    <mergeCell ref="I65:J65"/>
    <mergeCell ref="A60:J60"/>
    <mergeCell ref="A61:J61"/>
    <mergeCell ref="A62:B62"/>
    <mergeCell ref="C62:E62"/>
    <mergeCell ref="F62:H62"/>
    <mergeCell ref="I62:J62"/>
    <mergeCell ref="B54:J54"/>
    <mergeCell ref="B55:J55"/>
    <mergeCell ref="B56:J56"/>
    <mergeCell ref="A57:J57"/>
    <mergeCell ref="A58:J58"/>
    <mergeCell ref="B59:J59"/>
    <mergeCell ref="A49:J49"/>
    <mergeCell ref="C50:D50"/>
    <mergeCell ref="E50:F50"/>
    <mergeCell ref="G50:H50"/>
    <mergeCell ref="I50:J50"/>
    <mergeCell ref="A53:J53"/>
    <mergeCell ref="A46:J46"/>
    <mergeCell ref="A47:B47"/>
    <mergeCell ref="C47:E47"/>
    <mergeCell ref="F47:H47"/>
    <mergeCell ref="I47:J47"/>
    <mergeCell ref="A48:B48"/>
    <mergeCell ref="C48:E48"/>
    <mergeCell ref="F48:H48"/>
    <mergeCell ref="I48:J48"/>
    <mergeCell ref="B40:J40"/>
    <mergeCell ref="B41:J41"/>
    <mergeCell ref="A42:J42"/>
    <mergeCell ref="A43:J43"/>
    <mergeCell ref="B44:J44"/>
    <mergeCell ref="A45:J45"/>
    <mergeCell ref="A34:J34"/>
    <mergeCell ref="B35:J35"/>
    <mergeCell ref="B36:J36"/>
    <mergeCell ref="B37:J37"/>
    <mergeCell ref="A38:J38"/>
    <mergeCell ref="B39:J39"/>
    <mergeCell ref="A29:B29"/>
    <mergeCell ref="C29:E29"/>
    <mergeCell ref="F29:H29"/>
    <mergeCell ref="I29:J29"/>
    <mergeCell ref="A30:J30"/>
    <mergeCell ref="A31:B31"/>
    <mergeCell ref="C31:D31"/>
    <mergeCell ref="E31:F31"/>
    <mergeCell ref="G31:H31"/>
    <mergeCell ref="I31:J31"/>
    <mergeCell ref="A26:J26"/>
    <mergeCell ref="A27:J27"/>
    <mergeCell ref="A28:B28"/>
    <mergeCell ref="C28:E28"/>
    <mergeCell ref="F28:H28"/>
    <mergeCell ref="I28:J28"/>
    <mergeCell ref="A20:J20"/>
    <mergeCell ref="B21:J21"/>
    <mergeCell ref="B22:J22"/>
    <mergeCell ref="B23:J23"/>
    <mergeCell ref="A24:J24"/>
    <mergeCell ref="B25:J25"/>
    <mergeCell ref="A16:J16"/>
    <mergeCell ref="A17:B17"/>
    <mergeCell ref="C17:D17"/>
    <mergeCell ref="E17:F17"/>
    <mergeCell ref="G17:H17"/>
    <mergeCell ref="I17:J17"/>
    <mergeCell ref="A13:J13"/>
    <mergeCell ref="A14:B14"/>
    <mergeCell ref="C14:E14"/>
    <mergeCell ref="F14:H14"/>
    <mergeCell ref="I14:J14"/>
    <mergeCell ref="A15:B15"/>
    <mergeCell ref="C15:E15"/>
    <mergeCell ref="F15:H15"/>
    <mergeCell ref="I15:J15"/>
    <mergeCell ref="B7:J7"/>
    <mergeCell ref="A8:J8"/>
    <mergeCell ref="A9:J9"/>
    <mergeCell ref="B10:J10"/>
    <mergeCell ref="B11:J11"/>
    <mergeCell ref="A12:J12"/>
    <mergeCell ref="A1:J1"/>
    <mergeCell ref="A2:J2"/>
    <mergeCell ref="B3:J3"/>
    <mergeCell ref="B4:J4"/>
    <mergeCell ref="B5:J5"/>
    <mergeCell ref="B6:J6"/>
  </mergeCells>
  <dataValidations count="15">
    <dataValidation allowBlank="1" showInputMessage="1" showErrorMessage="1" prompt="¿A quién va dirigido el programa?, ¿qué característica tiene esta población que requiere ser beneficiada?" sqref="B11:J11 B40:J40" xr:uid="{E05F7FB1-ABCB-462A-B946-88D8E72DCB8D}"/>
    <dataValidation allowBlank="1" showInputMessage="1" showErrorMessage="1" prompt="1. Describir lo plasmado en el presupuesto_x000a_2. Describir lo alcanzado en términos financieros y de producción " sqref="B83:J83 B21:J21 B54:J54 B69:J69 B35:J35" xr:uid="{11F8CBB4-AE88-4727-83F5-3009D1B64A00}"/>
    <dataValidation allowBlank="1" showInputMessage="1" showErrorMessage="1" prompt="De existir desvío, explicar razones." sqref="B22:J23 B39:B41 B84:J85 B55:J56 A38 B36:B37 B70:J71" xr:uid="{513AE743-5363-47BF-AA44-90290487C6BF}"/>
    <dataValidation allowBlank="1" showInputMessage="1" showErrorMessage="1" prompt="Presupuesto del programa" sqref="A15:C15 F15 A29:C29 F29 A48:C48 F48 A63:C63 F63 A77:C77 F77" xr:uid="{D9F55209-3990-42EF-B87E-797ABDE427B1}"/>
    <dataValidation allowBlank="1" showInputMessage="1" showErrorMessage="1" prompt="¿En qué consiste el programa?" sqref="B10:J10 B39:J39" xr:uid="{55D0D762-D335-461F-A666-58806B0AECF3}"/>
    <dataValidation allowBlank="1" showInputMessage="1" showErrorMessage="1" prompt="Nombre de cada producto" sqref="A18:A19 A32:A33 A66:A67 A51:A52 A80:A81" xr:uid="{E66BEFBF-6200-4047-9345-4564BCD50616}"/>
    <dataValidation allowBlank="1" showInputMessage="1" showErrorMessage="1" prompt="Nombre del indicador" sqref="B66:B67 B32:B33 B18:B19 B51:B52 B80:B81" xr:uid="{1C6FB227-6E4E-41C6-AA53-6C09C71A66B8}"/>
    <dataValidation allowBlank="1" showInputMessage="1" showErrorMessage="1" prompt="Meta anual del indicador" sqref="C18:C19 E18 C33 C51:C52 E51 C66:C67 E66 C80:C81 E80" xr:uid="{72719490-470D-45A9-8AF3-D3864CBB83AD}"/>
    <dataValidation allowBlank="1" showInputMessage="1" showErrorMessage="1" prompt="Monto presupuestado para el producto" sqref="D18:D19 F18 E19 D33:F33 D51:D52 F51:F52 E52 D66:D67 F66:F67 D80:D81 F80 E81" xr:uid="{BEE64C6E-D8A0-45D6-A135-82A427A2B3CB}"/>
    <dataValidation allowBlank="1" showInputMessage="1" showErrorMessage="1" prompt="Meta alcanzada en el trimestre" sqref="G18:G19 G33 G51 G66:G67 G80:G81" xr:uid="{175610D4-6611-434D-9167-AD607CCBF90F}"/>
    <dataValidation allowBlank="1" showInputMessage="1" showErrorMessage="1" prompt="Monto ejecutado en el trimestre" sqref="H18:H19 H33 H51:H52 H66:H67 H80" xr:uid="{88C7F4B3-2C38-447C-949B-07525C5D0258}"/>
    <dataValidation allowBlank="1" showInputMessage="1" showErrorMessage="1" prompt="Nombre del producto" sqref="A12 A43 A58 A72" xr:uid="{D5AE975D-57B1-4E1C-9F4D-74FD5C7C1103}"/>
    <dataValidation allowBlank="1" showInputMessage="1" showErrorMessage="1" prompt="¿En qué consiste el producto? su objetivo" sqref="B73:J73 B44:J44 B59:J59 B25:J25" xr:uid="{58FB360F-8026-4F98-90F7-6F027B451964}"/>
    <dataValidation allowBlank="1" sqref="A3" xr:uid="{5224FDA7-2B5D-476D-843B-8C906BA083B9}"/>
    <dataValidation allowBlank="1" showInputMessage="1" prompt="Nombre del capítulo" sqref="B3:J5" xr:uid="{EF0B5EF4-5E76-4D81-B2D6-BFE80A9D63CC}"/>
  </dataValidations>
  <pageMargins left="0.19" right="0.17" top="0.28000000000000003" bottom="0.36" header="0.37" footer="0.05"/>
  <pageSetup scale="56" fitToHeight="0" orientation="portrait" r:id="rId1"/>
  <tableParts count="5">
    <tablePart r:id="rId2"/>
    <tablePart r:id="rId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F818C-EF4F-42D0-9822-4F5B22DF13F8}">
  <sheetPr>
    <tabColor rgb="FF92D050"/>
    <pageSetUpPr fitToPage="1"/>
  </sheetPr>
  <dimension ref="A1:K93"/>
  <sheetViews>
    <sheetView tabSelected="1" zoomScaleNormal="100" zoomScaleSheetLayoutView="85" zoomScalePageLayoutView="85" workbookViewId="0">
      <selection sqref="A1:J1"/>
    </sheetView>
  </sheetViews>
  <sheetFormatPr baseColWidth="10" defaultColWidth="11.42578125" defaultRowHeight="15.75" x14ac:dyDescent="0.25"/>
  <cols>
    <col min="1" max="1" width="28.5703125" style="5" customWidth="1"/>
    <col min="2" max="2" width="27.140625" style="5" customWidth="1"/>
    <col min="3" max="3" width="14.28515625" style="5" customWidth="1"/>
    <col min="4" max="4" width="16.5703125" style="5" customWidth="1"/>
    <col min="5" max="5" width="13.7109375" style="5" customWidth="1"/>
    <col min="6" max="6" width="19.7109375" style="5" customWidth="1"/>
    <col min="7" max="7" width="12.7109375" style="5" customWidth="1"/>
    <col min="8" max="8" width="18.85546875" style="5" customWidth="1"/>
    <col min="9" max="9" width="17.140625" style="5" customWidth="1"/>
    <col min="10" max="10" width="21.28515625" style="5" customWidth="1"/>
    <col min="11" max="11" width="50" style="1" customWidth="1"/>
    <col min="12" max="16384" width="11.42578125" style="1"/>
  </cols>
  <sheetData>
    <row r="1" spans="1:10" ht="146.25" customHeight="1" thickBot="1" x14ac:dyDescent="0.3">
      <c r="A1" s="103" t="s">
        <v>81</v>
      </c>
      <c r="B1" s="104"/>
      <c r="C1" s="104"/>
      <c r="D1" s="104"/>
      <c r="E1" s="104"/>
      <c r="F1" s="104"/>
      <c r="G1" s="104"/>
      <c r="H1" s="104"/>
      <c r="I1" s="104"/>
      <c r="J1" s="105"/>
    </row>
    <row r="2" spans="1:10" ht="24" thickBot="1" x14ac:dyDescent="0.3">
      <c r="A2" s="92" t="s">
        <v>0</v>
      </c>
      <c r="B2" s="93"/>
      <c r="C2" s="93"/>
      <c r="D2" s="93"/>
      <c r="E2" s="93"/>
      <c r="F2" s="93"/>
      <c r="G2" s="93"/>
      <c r="H2" s="93"/>
      <c r="I2" s="93"/>
      <c r="J2" s="94"/>
    </row>
    <row r="3" spans="1:10" x14ac:dyDescent="0.25">
      <c r="A3" s="2" t="s">
        <v>1</v>
      </c>
      <c r="B3" s="106" t="s">
        <v>2</v>
      </c>
      <c r="C3" s="106"/>
      <c r="D3" s="106"/>
      <c r="E3" s="106"/>
      <c r="F3" s="106"/>
      <c r="G3" s="106"/>
      <c r="H3" s="106"/>
      <c r="I3" s="106"/>
      <c r="J3" s="107"/>
    </row>
    <row r="4" spans="1:10" ht="15" customHeight="1" x14ac:dyDescent="0.25">
      <c r="A4" s="3" t="s">
        <v>3</v>
      </c>
      <c r="B4" s="108" t="s">
        <v>4</v>
      </c>
      <c r="C4" s="108"/>
      <c r="D4" s="108"/>
      <c r="E4" s="108"/>
      <c r="F4" s="108"/>
      <c r="G4" s="108"/>
      <c r="H4" s="108"/>
      <c r="I4" s="108"/>
      <c r="J4" s="109"/>
    </row>
    <row r="5" spans="1:10" x14ac:dyDescent="0.25">
      <c r="A5" s="3" t="s">
        <v>5</v>
      </c>
      <c r="B5" s="108" t="s">
        <v>4</v>
      </c>
      <c r="C5" s="108"/>
      <c r="D5" s="108"/>
      <c r="E5" s="108"/>
      <c r="F5" s="108"/>
      <c r="G5" s="108"/>
      <c r="H5" s="108"/>
      <c r="I5" s="108"/>
      <c r="J5" s="109"/>
    </row>
    <row r="6" spans="1:10" ht="31.5" customHeight="1" x14ac:dyDescent="0.25">
      <c r="A6" s="4" t="s">
        <v>6</v>
      </c>
      <c r="B6" s="110" t="s">
        <v>7</v>
      </c>
      <c r="C6" s="110"/>
      <c r="D6" s="110"/>
      <c r="E6" s="110"/>
      <c r="F6" s="110"/>
      <c r="G6" s="110"/>
      <c r="H6" s="110"/>
      <c r="I6" s="110"/>
      <c r="J6" s="111"/>
    </row>
    <row r="7" spans="1:10" ht="33.75" customHeight="1" thickBot="1" x14ac:dyDescent="0.3">
      <c r="A7" s="6" t="s">
        <v>8</v>
      </c>
      <c r="B7" s="90" t="s">
        <v>9</v>
      </c>
      <c r="C7" s="90"/>
      <c r="D7" s="90"/>
      <c r="E7" s="90"/>
      <c r="F7" s="90"/>
      <c r="G7" s="90"/>
      <c r="H7" s="90"/>
      <c r="I7" s="90"/>
      <c r="J7" s="91"/>
    </row>
    <row r="8" spans="1:10" ht="24" thickBot="1" x14ac:dyDescent="0.3">
      <c r="A8" s="92" t="s">
        <v>10</v>
      </c>
      <c r="B8" s="93"/>
      <c r="C8" s="93"/>
      <c r="D8" s="93"/>
      <c r="E8" s="93"/>
      <c r="F8" s="93"/>
      <c r="G8" s="93"/>
      <c r="H8" s="93"/>
      <c r="I8" s="93"/>
      <c r="J8" s="94"/>
    </row>
    <row r="9" spans="1:10" ht="21.75" customHeight="1" x14ac:dyDescent="0.25">
      <c r="A9" s="95" t="s">
        <v>11</v>
      </c>
      <c r="B9" s="96"/>
      <c r="C9" s="96"/>
      <c r="D9" s="96"/>
      <c r="E9" s="96"/>
      <c r="F9" s="96"/>
      <c r="G9" s="96"/>
      <c r="H9" s="96"/>
      <c r="I9" s="96"/>
      <c r="J9" s="97"/>
    </row>
    <row r="10" spans="1:10" ht="54" customHeight="1" x14ac:dyDescent="0.25">
      <c r="A10" s="7" t="s">
        <v>12</v>
      </c>
      <c r="B10" s="98" t="s">
        <v>13</v>
      </c>
      <c r="C10" s="98"/>
      <c r="D10" s="98"/>
      <c r="E10" s="98"/>
      <c r="F10" s="98"/>
      <c r="G10" s="98"/>
      <c r="H10" s="98"/>
      <c r="I10" s="98"/>
      <c r="J10" s="99"/>
    </row>
    <row r="11" spans="1:10" ht="24" customHeight="1" x14ac:dyDescent="0.25">
      <c r="A11" s="7" t="s">
        <v>14</v>
      </c>
      <c r="B11" s="98" t="s">
        <v>15</v>
      </c>
      <c r="C11" s="98"/>
      <c r="D11" s="98"/>
      <c r="E11" s="98"/>
      <c r="F11" s="98"/>
      <c r="G11" s="98"/>
      <c r="H11" s="98"/>
      <c r="I11" s="98"/>
      <c r="J11" s="99"/>
    </row>
    <row r="12" spans="1:10" ht="30.75" customHeight="1" x14ac:dyDescent="0.25">
      <c r="A12" s="100" t="s">
        <v>16</v>
      </c>
      <c r="B12" s="101"/>
      <c r="C12" s="101"/>
      <c r="D12" s="101"/>
      <c r="E12" s="101"/>
      <c r="F12" s="101"/>
      <c r="G12" s="101"/>
      <c r="H12" s="101"/>
      <c r="I12" s="101"/>
      <c r="J12" s="102"/>
    </row>
    <row r="13" spans="1:10" x14ac:dyDescent="0.25">
      <c r="A13" s="122" t="s">
        <v>17</v>
      </c>
      <c r="B13" s="123"/>
      <c r="C13" s="123"/>
      <c r="D13" s="123"/>
      <c r="E13" s="123"/>
      <c r="F13" s="123"/>
      <c r="G13" s="123"/>
      <c r="H13" s="123"/>
      <c r="I13" s="123"/>
      <c r="J13" s="124"/>
    </row>
    <row r="14" spans="1:10" ht="15" customHeight="1" x14ac:dyDescent="0.25">
      <c r="A14" s="125" t="s">
        <v>18</v>
      </c>
      <c r="B14" s="126"/>
      <c r="C14" s="126" t="s">
        <v>19</v>
      </c>
      <c r="D14" s="126"/>
      <c r="E14" s="126"/>
      <c r="F14" s="126" t="s">
        <v>20</v>
      </c>
      <c r="G14" s="126"/>
      <c r="H14" s="126"/>
      <c r="I14" s="126" t="s">
        <v>21</v>
      </c>
      <c r="J14" s="127"/>
    </row>
    <row r="15" spans="1:10" s="8" customFormat="1" x14ac:dyDescent="0.25">
      <c r="A15" s="128">
        <v>3450000</v>
      </c>
      <c r="B15" s="129"/>
      <c r="C15" s="130">
        <v>2050000</v>
      </c>
      <c r="D15" s="131"/>
      <c r="E15" s="129"/>
      <c r="F15" s="130">
        <v>149390</v>
      </c>
      <c r="G15" s="131"/>
      <c r="H15" s="129"/>
      <c r="I15" s="132">
        <f>+F15/C15</f>
        <v>7.2873170731707321E-2</v>
      </c>
      <c r="J15" s="133"/>
    </row>
    <row r="16" spans="1:10" ht="16.5" thickBot="1" x14ac:dyDescent="0.3">
      <c r="A16" s="112" t="s">
        <v>22</v>
      </c>
      <c r="B16" s="113"/>
      <c r="C16" s="113"/>
      <c r="D16" s="113"/>
      <c r="E16" s="113"/>
      <c r="F16" s="113"/>
      <c r="G16" s="113"/>
      <c r="H16" s="113"/>
      <c r="I16" s="113"/>
      <c r="J16" s="114"/>
    </row>
    <row r="17" spans="1:11" ht="15.75" customHeight="1" thickBot="1" x14ac:dyDescent="0.3">
      <c r="A17" s="115"/>
      <c r="B17" s="116"/>
      <c r="C17" s="117" t="s">
        <v>23</v>
      </c>
      <c r="D17" s="118"/>
      <c r="E17" s="119" t="s">
        <v>24</v>
      </c>
      <c r="F17" s="118"/>
      <c r="G17" s="119" t="s">
        <v>25</v>
      </c>
      <c r="H17" s="118"/>
      <c r="I17" s="120" t="s">
        <v>26</v>
      </c>
      <c r="J17" s="121"/>
    </row>
    <row r="18" spans="1:11" ht="31.5" x14ac:dyDescent="0.25">
      <c r="A18" s="9" t="s">
        <v>27</v>
      </c>
      <c r="B18" s="10" t="s">
        <v>28</v>
      </c>
      <c r="C18" s="10" t="s">
        <v>29</v>
      </c>
      <c r="D18" s="10" t="s">
        <v>30</v>
      </c>
      <c r="E18" s="10" t="s">
        <v>31</v>
      </c>
      <c r="F18" s="10" t="s">
        <v>32</v>
      </c>
      <c r="G18" s="10" t="s">
        <v>33</v>
      </c>
      <c r="H18" s="10" t="s">
        <v>34</v>
      </c>
      <c r="I18" s="10" t="s">
        <v>35</v>
      </c>
      <c r="J18" s="11" t="s">
        <v>36</v>
      </c>
    </row>
    <row r="19" spans="1:11" s="18" customFormat="1" ht="69" customHeight="1" x14ac:dyDescent="0.25">
      <c r="A19" s="12" t="s">
        <v>37</v>
      </c>
      <c r="B19" s="13" t="s">
        <v>38</v>
      </c>
      <c r="C19" s="14">
        <v>100</v>
      </c>
      <c r="D19" s="14">
        <v>2050000</v>
      </c>
      <c r="E19" s="14">
        <v>13334</v>
      </c>
      <c r="F19" s="14">
        <v>954166.67</v>
      </c>
      <c r="G19" s="14">
        <v>88227</v>
      </c>
      <c r="H19" s="15">
        <v>0</v>
      </c>
      <c r="I19" s="16">
        <f>+Tabla17247[[#This Row],[Física (E)]]/Tabla17247[[#This Row],[Física (C)]]</f>
        <v>6.6166941652917357</v>
      </c>
      <c r="J19" s="17">
        <f>+Tabla17247[[#This Row],[Financiera  (F)]]/Tabla17247[[#This Row],[Financiera (D)]]</f>
        <v>0</v>
      </c>
    </row>
    <row r="20" spans="1:11" x14ac:dyDescent="0.25">
      <c r="A20" s="137" t="s">
        <v>39</v>
      </c>
      <c r="B20" s="138"/>
      <c r="C20" s="138"/>
      <c r="D20" s="138"/>
      <c r="E20" s="138"/>
      <c r="F20" s="138"/>
      <c r="G20" s="138"/>
      <c r="H20" s="138"/>
      <c r="I20" s="138"/>
      <c r="J20" s="139"/>
    </row>
    <row r="21" spans="1:11" ht="75" customHeight="1" x14ac:dyDescent="0.25">
      <c r="A21" s="19" t="s">
        <v>40</v>
      </c>
      <c r="B21" s="140" t="s">
        <v>87</v>
      </c>
      <c r="C21" s="140"/>
      <c r="D21" s="140"/>
      <c r="E21" s="140"/>
      <c r="F21" s="140"/>
      <c r="G21" s="140"/>
      <c r="H21" s="140"/>
      <c r="I21" s="140"/>
      <c r="J21" s="141"/>
    </row>
    <row r="22" spans="1:11" ht="89.25" customHeight="1" x14ac:dyDescent="0.25">
      <c r="A22" s="19" t="s">
        <v>41</v>
      </c>
      <c r="B22" s="142" t="s">
        <v>86</v>
      </c>
      <c r="C22" s="142"/>
      <c r="D22" s="142"/>
      <c r="E22" s="142"/>
      <c r="F22" s="142"/>
      <c r="G22" s="142"/>
      <c r="H22" s="142"/>
      <c r="I22" s="142"/>
      <c r="J22" s="143"/>
      <c r="K22" s="20"/>
    </row>
    <row r="23" spans="1:11" ht="111.75" customHeight="1" x14ac:dyDescent="0.25">
      <c r="A23" s="19" t="s">
        <v>42</v>
      </c>
      <c r="B23" s="142" t="s">
        <v>43</v>
      </c>
      <c r="C23" s="142"/>
      <c r="D23" s="142"/>
      <c r="E23" s="142"/>
      <c r="F23" s="142"/>
      <c r="G23" s="142"/>
      <c r="H23" s="142"/>
      <c r="I23" s="142"/>
      <c r="J23" s="143"/>
      <c r="K23" s="20"/>
    </row>
    <row r="24" spans="1:11" s="5" customFormat="1" ht="34.5" customHeight="1" x14ac:dyDescent="0.25">
      <c r="A24" s="100" t="s">
        <v>44</v>
      </c>
      <c r="B24" s="101"/>
      <c r="C24" s="101"/>
      <c r="D24" s="101"/>
      <c r="E24" s="101"/>
      <c r="F24" s="101"/>
      <c r="G24" s="101"/>
      <c r="H24" s="101"/>
      <c r="I24" s="101"/>
      <c r="J24" s="102"/>
      <c r="K24" s="1"/>
    </row>
    <row r="25" spans="1:11" ht="33" customHeight="1" x14ac:dyDescent="0.25">
      <c r="A25" s="19" t="s">
        <v>45</v>
      </c>
      <c r="B25" s="98" t="s">
        <v>46</v>
      </c>
      <c r="C25" s="98"/>
      <c r="D25" s="98"/>
      <c r="E25" s="98"/>
      <c r="F25" s="98"/>
      <c r="G25" s="98"/>
      <c r="H25" s="98"/>
      <c r="I25" s="98"/>
      <c r="J25" s="99"/>
    </row>
    <row r="26" spans="1:11" ht="18.75" x14ac:dyDescent="0.25">
      <c r="A26" s="134" t="s">
        <v>47</v>
      </c>
      <c r="B26" s="135"/>
      <c r="C26" s="135"/>
      <c r="D26" s="135"/>
      <c r="E26" s="135"/>
      <c r="F26" s="135"/>
      <c r="G26" s="135"/>
      <c r="H26" s="135"/>
      <c r="I26" s="135"/>
      <c r="J26" s="136"/>
    </row>
    <row r="27" spans="1:11" s="5" customFormat="1" x14ac:dyDescent="0.25">
      <c r="A27" s="122" t="s">
        <v>17</v>
      </c>
      <c r="B27" s="123"/>
      <c r="C27" s="123"/>
      <c r="D27" s="123"/>
      <c r="E27" s="123"/>
      <c r="F27" s="123"/>
      <c r="G27" s="123"/>
      <c r="H27" s="123"/>
      <c r="I27" s="123"/>
      <c r="J27" s="124"/>
      <c r="K27" s="1"/>
    </row>
    <row r="28" spans="1:11" s="5" customFormat="1" x14ac:dyDescent="0.25">
      <c r="A28" s="125" t="s">
        <v>18</v>
      </c>
      <c r="B28" s="126"/>
      <c r="C28" s="126" t="s">
        <v>19</v>
      </c>
      <c r="D28" s="126"/>
      <c r="E28" s="126"/>
      <c r="F28" s="126" t="s">
        <v>20</v>
      </c>
      <c r="G28" s="126"/>
      <c r="H28" s="126"/>
      <c r="I28" s="126" t="s">
        <v>21</v>
      </c>
      <c r="J28" s="127"/>
      <c r="K28" s="1"/>
    </row>
    <row r="29" spans="1:11" s="5" customFormat="1" x14ac:dyDescent="0.25">
      <c r="A29" s="144">
        <v>100000</v>
      </c>
      <c r="B29" s="145"/>
      <c r="C29" s="145">
        <v>100000</v>
      </c>
      <c r="D29" s="145"/>
      <c r="E29" s="145"/>
      <c r="F29" s="145">
        <v>92062.5</v>
      </c>
      <c r="G29" s="145"/>
      <c r="H29" s="145"/>
      <c r="I29" s="146">
        <f>+F29/C29</f>
        <v>0.92062500000000003</v>
      </c>
      <c r="J29" s="147"/>
      <c r="K29" s="1"/>
    </row>
    <row r="30" spans="1:11" s="5" customFormat="1" ht="16.5" thickBot="1" x14ac:dyDescent="0.3">
      <c r="A30" s="112" t="s">
        <v>22</v>
      </c>
      <c r="B30" s="113"/>
      <c r="C30" s="113"/>
      <c r="D30" s="113"/>
      <c r="E30" s="113"/>
      <c r="F30" s="113"/>
      <c r="G30" s="113"/>
      <c r="H30" s="113"/>
      <c r="I30" s="113"/>
      <c r="J30" s="114"/>
      <c r="K30" s="1"/>
    </row>
    <row r="31" spans="1:11" s="5" customFormat="1" x14ac:dyDescent="0.25">
      <c r="A31" s="148"/>
      <c r="B31" s="149"/>
      <c r="C31" s="150" t="s">
        <v>23</v>
      </c>
      <c r="D31" s="151"/>
      <c r="E31" s="152" t="s">
        <v>24</v>
      </c>
      <c r="F31" s="151"/>
      <c r="G31" s="152" t="s">
        <v>25</v>
      </c>
      <c r="H31" s="151"/>
      <c r="I31" s="153" t="s">
        <v>26</v>
      </c>
      <c r="J31" s="154"/>
      <c r="K31" s="1"/>
    </row>
    <row r="32" spans="1:11" s="5" customFormat="1" ht="31.5" x14ac:dyDescent="0.25">
      <c r="A32" s="9" t="s">
        <v>27</v>
      </c>
      <c r="B32" s="10" t="s">
        <v>28</v>
      </c>
      <c r="C32" s="21" t="s">
        <v>29</v>
      </c>
      <c r="D32" s="22" t="s">
        <v>30</v>
      </c>
      <c r="E32" s="22" t="s">
        <v>31</v>
      </c>
      <c r="F32" s="22" t="s">
        <v>32</v>
      </c>
      <c r="G32" s="22" t="s">
        <v>33</v>
      </c>
      <c r="H32" s="22" t="s">
        <v>48</v>
      </c>
      <c r="I32" s="10" t="s">
        <v>35</v>
      </c>
      <c r="J32" s="11" t="s">
        <v>36</v>
      </c>
      <c r="K32" s="1"/>
    </row>
    <row r="33" spans="1:11" ht="78" customHeight="1" x14ac:dyDescent="0.25">
      <c r="A33" s="12" t="s">
        <v>49</v>
      </c>
      <c r="B33" s="23" t="s">
        <v>50</v>
      </c>
      <c r="C33" s="14">
        <v>50</v>
      </c>
      <c r="D33" s="14">
        <v>100000</v>
      </c>
      <c r="E33" s="14">
        <v>20</v>
      </c>
      <c r="F33" s="15">
        <v>25000</v>
      </c>
      <c r="G33" s="24">
        <v>52</v>
      </c>
      <c r="H33" s="15">
        <v>6756.75</v>
      </c>
      <c r="I33" s="25">
        <f>+Tabla1768[[#This Row],[Física (E)]]/Tabla1768[[#This Row],[Física (C)]]</f>
        <v>2.6</v>
      </c>
      <c r="J33" s="26">
        <f>+Tabla1768[[#This Row],[Financiera (F)]]/Tabla1768[[#This Row],[Financiera (D)]]</f>
        <v>0.27027000000000001</v>
      </c>
    </row>
    <row r="34" spans="1:11" ht="18.75" x14ac:dyDescent="0.25">
      <c r="A34" s="159" t="s">
        <v>39</v>
      </c>
      <c r="B34" s="160"/>
      <c r="C34" s="160"/>
      <c r="D34" s="160"/>
      <c r="E34" s="160"/>
      <c r="F34" s="160"/>
      <c r="G34" s="160"/>
      <c r="H34" s="160"/>
      <c r="I34" s="160"/>
      <c r="J34" s="161"/>
    </row>
    <row r="35" spans="1:11" ht="71.25" customHeight="1" x14ac:dyDescent="0.25">
      <c r="A35" s="19" t="s">
        <v>51</v>
      </c>
      <c r="B35" s="162" t="s">
        <v>89</v>
      </c>
      <c r="C35" s="162"/>
      <c r="D35" s="162"/>
      <c r="E35" s="162"/>
      <c r="F35" s="162"/>
      <c r="G35" s="162"/>
      <c r="H35" s="162"/>
      <c r="I35" s="162"/>
      <c r="J35" s="163"/>
    </row>
    <row r="36" spans="1:11" ht="74.25" customHeight="1" x14ac:dyDescent="0.25">
      <c r="A36" s="27" t="s">
        <v>52</v>
      </c>
      <c r="B36" s="162" t="s">
        <v>82</v>
      </c>
      <c r="C36" s="162"/>
      <c r="D36" s="162"/>
      <c r="E36" s="162"/>
      <c r="F36" s="162"/>
      <c r="G36" s="162"/>
      <c r="H36" s="162"/>
      <c r="I36" s="162"/>
      <c r="J36" s="163"/>
      <c r="K36" s="47">
        <f>100-27.03</f>
        <v>72.97</v>
      </c>
    </row>
    <row r="37" spans="1:11" ht="96.75" customHeight="1" x14ac:dyDescent="0.25">
      <c r="A37" s="27" t="s">
        <v>42</v>
      </c>
      <c r="B37" s="162" t="s">
        <v>145</v>
      </c>
      <c r="C37" s="162"/>
      <c r="D37" s="162"/>
      <c r="E37" s="162"/>
      <c r="F37" s="162"/>
      <c r="G37" s="162"/>
      <c r="H37" s="162"/>
      <c r="I37" s="162"/>
      <c r="J37" s="163"/>
    </row>
    <row r="38" spans="1:11" ht="19.5" customHeight="1" x14ac:dyDescent="0.25">
      <c r="A38" s="164" t="s">
        <v>53</v>
      </c>
      <c r="B38" s="165"/>
      <c r="C38" s="165"/>
      <c r="D38" s="165"/>
      <c r="E38" s="165"/>
      <c r="F38" s="165"/>
      <c r="G38" s="165"/>
      <c r="H38" s="165"/>
      <c r="I38" s="165"/>
      <c r="J38" s="166"/>
    </row>
    <row r="39" spans="1:11" ht="67.5" customHeight="1" x14ac:dyDescent="0.25">
      <c r="A39" s="7" t="s">
        <v>12</v>
      </c>
      <c r="B39" s="167" t="s">
        <v>54</v>
      </c>
      <c r="C39" s="167"/>
      <c r="D39" s="167"/>
      <c r="E39" s="167"/>
      <c r="F39" s="167"/>
      <c r="G39" s="167"/>
      <c r="H39" s="167"/>
      <c r="I39" s="167"/>
      <c r="J39" s="168"/>
    </row>
    <row r="40" spans="1:11" ht="20.25" customHeight="1" x14ac:dyDescent="0.25">
      <c r="A40" s="7" t="s">
        <v>14</v>
      </c>
      <c r="B40" s="98" t="s">
        <v>55</v>
      </c>
      <c r="C40" s="98"/>
      <c r="D40" s="98"/>
      <c r="E40" s="98"/>
      <c r="F40" s="98"/>
      <c r="G40" s="98"/>
      <c r="H40" s="98"/>
      <c r="I40" s="98"/>
      <c r="J40" s="99"/>
    </row>
    <row r="41" spans="1:11" ht="20.25" customHeight="1" x14ac:dyDescent="0.25">
      <c r="A41" s="7" t="s">
        <v>56</v>
      </c>
      <c r="B41" s="155" t="s">
        <v>57</v>
      </c>
      <c r="C41" s="98"/>
      <c r="D41" s="98"/>
      <c r="E41" s="98"/>
      <c r="F41" s="98"/>
      <c r="G41" s="98"/>
      <c r="H41" s="98"/>
      <c r="I41" s="98"/>
      <c r="J41" s="99"/>
    </row>
    <row r="42" spans="1:11" ht="20.25" customHeight="1" x14ac:dyDescent="0.25">
      <c r="A42" s="156"/>
      <c r="B42" s="157"/>
      <c r="C42" s="157"/>
      <c r="D42" s="157"/>
      <c r="E42" s="157"/>
      <c r="F42" s="157"/>
      <c r="G42" s="157"/>
      <c r="H42" s="157"/>
      <c r="I42" s="157"/>
      <c r="J42" s="158"/>
    </row>
    <row r="43" spans="1:11" ht="27" customHeight="1" x14ac:dyDescent="0.25">
      <c r="A43" s="100" t="s">
        <v>58</v>
      </c>
      <c r="B43" s="101"/>
      <c r="C43" s="101"/>
      <c r="D43" s="101"/>
      <c r="E43" s="101"/>
      <c r="F43" s="101"/>
      <c r="G43" s="101"/>
      <c r="H43" s="101"/>
      <c r="I43" s="101"/>
      <c r="J43" s="102"/>
    </row>
    <row r="44" spans="1:11" ht="26.25" customHeight="1" x14ac:dyDescent="0.25">
      <c r="A44" s="19" t="s">
        <v>45</v>
      </c>
      <c r="B44" s="98" t="s">
        <v>59</v>
      </c>
      <c r="C44" s="98"/>
      <c r="D44" s="98"/>
      <c r="E44" s="98"/>
      <c r="F44" s="98"/>
      <c r="G44" s="98"/>
      <c r="H44" s="98"/>
      <c r="I44" s="98"/>
      <c r="J44" s="99"/>
    </row>
    <row r="45" spans="1:11" ht="18.75" x14ac:dyDescent="0.25">
      <c r="A45" s="134" t="s">
        <v>47</v>
      </c>
      <c r="B45" s="135"/>
      <c r="C45" s="135"/>
      <c r="D45" s="135"/>
      <c r="E45" s="135"/>
      <c r="F45" s="135"/>
      <c r="G45" s="135"/>
      <c r="H45" s="135"/>
      <c r="I45" s="135"/>
      <c r="J45" s="136"/>
    </row>
    <row r="46" spans="1:11" x14ac:dyDescent="0.25">
      <c r="A46" s="122" t="s">
        <v>17</v>
      </c>
      <c r="B46" s="123"/>
      <c r="C46" s="123"/>
      <c r="D46" s="123"/>
      <c r="E46" s="123"/>
      <c r="F46" s="123"/>
      <c r="G46" s="123"/>
      <c r="H46" s="123"/>
      <c r="I46" s="123"/>
      <c r="J46" s="124"/>
    </row>
    <row r="47" spans="1:11" x14ac:dyDescent="0.25">
      <c r="A47" s="125" t="s">
        <v>18</v>
      </c>
      <c r="B47" s="126"/>
      <c r="C47" s="126" t="s">
        <v>19</v>
      </c>
      <c r="D47" s="126"/>
      <c r="E47" s="126"/>
      <c r="F47" s="126" t="s">
        <v>20</v>
      </c>
      <c r="G47" s="126"/>
      <c r="H47" s="126"/>
      <c r="I47" s="126" t="s">
        <v>21</v>
      </c>
      <c r="J47" s="127"/>
    </row>
    <row r="48" spans="1:11" x14ac:dyDescent="0.25">
      <c r="A48" s="173">
        <v>2051192175</v>
      </c>
      <c r="B48" s="174"/>
      <c r="C48" s="174">
        <v>2051192175</v>
      </c>
      <c r="D48" s="174"/>
      <c r="E48" s="174"/>
      <c r="F48" s="174">
        <v>1600474205.0599999</v>
      </c>
      <c r="G48" s="174"/>
      <c r="H48" s="174"/>
      <c r="I48" s="175">
        <f>F48/C48</f>
        <v>0.78026536204975527</v>
      </c>
      <c r="J48" s="176"/>
    </row>
    <row r="49" spans="1:11" ht="16.5" thickBot="1" x14ac:dyDescent="0.3">
      <c r="A49" s="112" t="s">
        <v>22</v>
      </c>
      <c r="B49" s="113"/>
      <c r="C49" s="113"/>
      <c r="D49" s="113"/>
      <c r="E49" s="113"/>
      <c r="F49" s="113"/>
      <c r="G49" s="113"/>
      <c r="H49" s="113"/>
      <c r="I49" s="113"/>
      <c r="J49" s="114"/>
    </row>
    <row r="50" spans="1:11" x14ac:dyDescent="0.25">
      <c r="A50" s="28"/>
      <c r="B50" s="29"/>
      <c r="C50" s="169" t="s">
        <v>23</v>
      </c>
      <c r="D50" s="170"/>
      <c r="E50" s="171" t="s">
        <v>24</v>
      </c>
      <c r="F50" s="170"/>
      <c r="G50" s="171" t="s">
        <v>25</v>
      </c>
      <c r="H50" s="170"/>
      <c r="I50" s="153" t="s">
        <v>26</v>
      </c>
      <c r="J50" s="172"/>
    </row>
    <row r="51" spans="1:11" ht="31.5" x14ac:dyDescent="0.25">
      <c r="A51" s="9" t="s">
        <v>27</v>
      </c>
      <c r="B51" s="10" t="s">
        <v>28</v>
      </c>
      <c r="C51" s="10" t="s">
        <v>29</v>
      </c>
      <c r="D51" s="10" t="s">
        <v>30</v>
      </c>
      <c r="E51" s="10" t="s">
        <v>31</v>
      </c>
      <c r="F51" s="10" t="s">
        <v>32</v>
      </c>
      <c r="G51" s="10" t="s">
        <v>33</v>
      </c>
      <c r="H51" s="10" t="s">
        <v>34</v>
      </c>
      <c r="I51" s="10" t="s">
        <v>35</v>
      </c>
      <c r="J51" s="11" t="s">
        <v>36</v>
      </c>
    </row>
    <row r="52" spans="1:11" ht="31.5" x14ac:dyDescent="0.25">
      <c r="A52" s="30" t="s">
        <v>60</v>
      </c>
      <c r="B52" s="31" t="s">
        <v>61</v>
      </c>
      <c r="C52" s="32">
        <v>450000</v>
      </c>
      <c r="D52" s="32">
        <f>+C48</f>
        <v>2051192175</v>
      </c>
      <c r="E52" s="32">
        <v>85653</v>
      </c>
      <c r="F52" s="15">
        <v>1006346087.5</v>
      </c>
      <c r="G52" s="33">
        <v>121793</v>
      </c>
      <c r="H52" s="15">
        <v>1008800889.77</v>
      </c>
      <c r="I52" s="16">
        <f>+Tabla134589[[#This Row],[Física (E)]]/Tabla134589[[#This Row],[Física (C)]]</f>
        <v>1.4219350168703957</v>
      </c>
      <c r="J52" s="26">
        <f>+Tabla134589[[#This Row],[Financiera  (F)]]/Tabla134589[[#This Row],[Financiera (D)]]</f>
        <v>1.002439322118396</v>
      </c>
    </row>
    <row r="53" spans="1:11" ht="18.75" x14ac:dyDescent="0.25">
      <c r="A53" s="159" t="s">
        <v>39</v>
      </c>
      <c r="B53" s="160"/>
      <c r="C53" s="160"/>
      <c r="D53" s="160"/>
      <c r="E53" s="160"/>
      <c r="F53" s="160"/>
      <c r="G53" s="160"/>
      <c r="H53" s="160"/>
      <c r="I53" s="160"/>
      <c r="J53" s="161"/>
    </row>
    <row r="54" spans="1:11" ht="54.75" customHeight="1" x14ac:dyDescent="0.25">
      <c r="A54" s="19" t="s">
        <v>51</v>
      </c>
      <c r="B54" s="162" t="s">
        <v>62</v>
      </c>
      <c r="C54" s="162"/>
      <c r="D54" s="162"/>
      <c r="E54" s="162"/>
      <c r="F54" s="162"/>
      <c r="G54" s="162"/>
      <c r="H54" s="162"/>
      <c r="I54" s="162"/>
      <c r="J54" s="163"/>
    </row>
    <row r="55" spans="1:11" ht="108.75" customHeight="1" x14ac:dyDescent="0.25">
      <c r="A55" s="27" t="s">
        <v>52</v>
      </c>
      <c r="B55" s="142" t="s">
        <v>83</v>
      </c>
      <c r="C55" s="142"/>
      <c r="D55" s="142"/>
      <c r="E55" s="142"/>
      <c r="F55" s="142"/>
      <c r="G55" s="142"/>
      <c r="H55" s="142"/>
      <c r="I55" s="142"/>
      <c r="J55" s="143"/>
      <c r="K55" s="34"/>
    </row>
    <row r="56" spans="1:11" ht="75" customHeight="1" x14ac:dyDescent="0.25">
      <c r="A56" s="27" t="s">
        <v>42</v>
      </c>
      <c r="B56" s="142" t="s">
        <v>131</v>
      </c>
      <c r="C56" s="142"/>
      <c r="D56" s="142"/>
      <c r="E56" s="142"/>
      <c r="F56" s="142"/>
      <c r="G56" s="142"/>
      <c r="H56" s="142"/>
      <c r="I56" s="142"/>
      <c r="J56" s="143"/>
    </row>
    <row r="57" spans="1:11" ht="20.25" customHeight="1" x14ac:dyDescent="0.25">
      <c r="A57" s="156"/>
      <c r="B57" s="157"/>
      <c r="C57" s="157"/>
      <c r="D57" s="157"/>
      <c r="E57" s="157"/>
      <c r="F57" s="157"/>
      <c r="G57" s="157"/>
      <c r="H57" s="157"/>
      <c r="I57" s="157"/>
      <c r="J57" s="158"/>
    </row>
    <row r="58" spans="1:11" ht="30" customHeight="1" x14ac:dyDescent="0.25">
      <c r="A58" s="100" t="s">
        <v>63</v>
      </c>
      <c r="B58" s="101"/>
      <c r="C58" s="101"/>
      <c r="D58" s="101"/>
      <c r="E58" s="101"/>
      <c r="F58" s="101"/>
      <c r="G58" s="101"/>
      <c r="H58" s="101"/>
      <c r="I58" s="101"/>
      <c r="J58" s="102"/>
    </row>
    <row r="59" spans="1:11" x14ac:dyDescent="0.25">
      <c r="A59" s="19" t="s">
        <v>45</v>
      </c>
      <c r="B59" s="98" t="s">
        <v>64</v>
      </c>
      <c r="C59" s="98"/>
      <c r="D59" s="98"/>
      <c r="E59" s="98"/>
      <c r="F59" s="98"/>
      <c r="G59" s="98"/>
      <c r="H59" s="98"/>
      <c r="I59" s="98"/>
      <c r="J59" s="99"/>
    </row>
    <row r="60" spans="1:11" ht="18.75" x14ac:dyDescent="0.25">
      <c r="A60" s="134" t="s">
        <v>47</v>
      </c>
      <c r="B60" s="135"/>
      <c r="C60" s="135"/>
      <c r="D60" s="135"/>
      <c r="E60" s="135"/>
      <c r="F60" s="135"/>
      <c r="G60" s="135"/>
      <c r="H60" s="135"/>
      <c r="I60" s="135"/>
      <c r="J60" s="136"/>
    </row>
    <row r="61" spans="1:11" x14ac:dyDescent="0.25">
      <c r="A61" s="122" t="s">
        <v>17</v>
      </c>
      <c r="B61" s="123"/>
      <c r="C61" s="123"/>
      <c r="D61" s="123"/>
      <c r="E61" s="123"/>
      <c r="F61" s="123"/>
      <c r="G61" s="123"/>
      <c r="H61" s="123"/>
      <c r="I61" s="123"/>
      <c r="J61" s="124"/>
    </row>
    <row r="62" spans="1:11" x14ac:dyDescent="0.25">
      <c r="A62" s="125" t="s">
        <v>18</v>
      </c>
      <c r="B62" s="126"/>
      <c r="C62" s="126" t="s">
        <v>19</v>
      </c>
      <c r="D62" s="126"/>
      <c r="E62" s="126"/>
      <c r="F62" s="126" t="s">
        <v>20</v>
      </c>
      <c r="G62" s="126"/>
      <c r="H62" s="126"/>
      <c r="I62" s="126" t="s">
        <v>21</v>
      </c>
      <c r="J62" s="127"/>
    </row>
    <row r="63" spans="1:11" x14ac:dyDescent="0.25">
      <c r="A63" s="173">
        <v>700000</v>
      </c>
      <c r="B63" s="174"/>
      <c r="C63" s="174">
        <v>934000</v>
      </c>
      <c r="D63" s="174"/>
      <c r="E63" s="174"/>
      <c r="F63" s="174">
        <v>869142.5</v>
      </c>
      <c r="G63" s="174"/>
      <c r="H63" s="174"/>
      <c r="I63" s="175">
        <f>F63/C63</f>
        <v>0.93055942184154172</v>
      </c>
      <c r="J63" s="176"/>
    </row>
    <row r="64" spans="1:11" ht="16.5" thickBot="1" x14ac:dyDescent="0.3">
      <c r="A64" s="112" t="s">
        <v>22</v>
      </c>
      <c r="B64" s="113"/>
      <c r="C64" s="113"/>
      <c r="D64" s="113"/>
      <c r="E64" s="113"/>
      <c r="F64" s="113"/>
      <c r="G64" s="113"/>
      <c r="H64" s="113"/>
      <c r="I64" s="113"/>
      <c r="J64" s="114"/>
    </row>
    <row r="65" spans="1:10" x14ac:dyDescent="0.25">
      <c r="A65" s="177"/>
      <c r="B65" s="178"/>
      <c r="C65" s="169" t="s">
        <v>23</v>
      </c>
      <c r="D65" s="170"/>
      <c r="E65" s="171" t="s">
        <v>24</v>
      </c>
      <c r="F65" s="170"/>
      <c r="G65" s="171" t="s">
        <v>25</v>
      </c>
      <c r="H65" s="170"/>
      <c r="I65" s="153" t="s">
        <v>26</v>
      </c>
      <c r="J65" s="179"/>
    </row>
    <row r="66" spans="1:10" ht="31.5" x14ac:dyDescent="0.25">
      <c r="A66" s="9" t="s">
        <v>27</v>
      </c>
      <c r="B66" s="10" t="s">
        <v>28</v>
      </c>
      <c r="C66" s="10" t="s">
        <v>29</v>
      </c>
      <c r="D66" s="10" t="s">
        <v>30</v>
      </c>
      <c r="E66" s="10" t="s">
        <v>31</v>
      </c>
      <c r="F66" s="10" t="s">
        <v>32</v>
      </c>
      <c r="G66" s="10" t="s">
        <v>33</v>
      </c>
      <c r="H66" s="10" t="s">
        <v>34</v>
      </c>
      <c r="I66" s="10" t="s">
        <v>35</v>
      </c>
      <c r="J66" s="11" t="s">
        <v>36</v>
      </c>
    </row>
    <row r="67" spans="1:10" ht="68.25" customHeight="1" x14ac:dyDescent="0.25">
      <c r="A67" s="12" t="s">
        <v>65</v>
      </c>
      <c r="B67" s="35" t="s">
        <v>66</v>
      </c>
      <c r="C67" s="32">
        <v>120000</v>
      </c>
      <c r="D67" s="15">
        <f>+C63</f>
        <v>934000</v>
      </c>
      <c r="E67" s="15">
        <v>10513</v>
      </c>
      <c r="F67" s="15">
        <v>233333.33</v>
      </c>
      <c r="G67" s="36">
        <v>17676</v>
      </c>
      <c r="H67" s="15">
        <v>769360</v>
      </c>
      <c r="I67" s="16">
        <f>G67/E67</f>
        <v>1.6813469038333493</v>
      </c>
      <c r="J67" s="26">
        <f>+Tabla13459101112133910[[#This Row],[Financiera  (F)]]/Tabla13459101112133910[[#This Row],[Financiera (D)]]</f>
        <v>3.297257189960817</v>
      </c>
    </row>
    <row r="68" spans="1:10" ht="18.75" x14ac:dyDescent="0.25">
      <c r="A68" s="159" t="s">
        <v>39</v>
      </c>
      <c r="B68" s="160"/>
      <c r="C68" s="160"/>
      <c r="D68" s="160"/>
      <c r="E68" s="160"/>
      <c r="F68" s="160"/>
      <c r="G68" s="160"/>
      <c r="H68" s="160"/>
      <c r="I68" s="160"/>
      <c r="J68" s="161"/>
    </row>
    <row r="69" spans="1:10" ht="163.5" customHeight="1" x14ac:dyDescent="0.25">
      <c r="A69" s="19" t="s">
        <v>51</v>
      </c>
      <c r="B69" s="162" t="s">
        <v>90</v>
      </c>
      <c r="C69" s="162"/>
      <c r="D69" s="162"/>
      <c r="E69" s="162"/>
      <c r="F69" s="162"/>
      <c r="G69" s="162"/>
      <c r="H69" s="162"/>
      <c r="I69" s="162"/>
      <c r="J69" s="163"/>
    </row>
    <row r="70" spans="1:10" ht="97.15" customHeight="1" x14ac:dyDescent="0.25">
      <c r="A70" s="27" t="s">
        <v>52</v>
      </c>
      <c r="B70" s="142" t="s">
        <v>137</v>
      </c>
      <c r="C70" s="142"/>
      <c r="D70" s="142"/>
      <c r="E70" s="142"/>
      <c r="F70" s="142"/>
      <c r="G70" s="142"/>
      <c r="H70" s="142"/>
      <c r="I70" s="142"/>
      <c r="J70" s="143"/>
    </row>
    <row r="71" spans="1:10" ht="99" customHeight="1" x14ac:dyDescent="0.25">
      <c r="A71" s="27" t="s">
        <v>42</v>
      </c>
      <c r="B71" s="142" t="s">
        <v>85</v>
      </c>
      <c r="C71" s="142"/>
      <c r="D71" s="142"/>
      <c r="E71" s="142"/>
      <c r="F71" s="142"/>
      <c r="G71" s="142"/>
      <c r="H71" s="142"/>
      <c r="I71" s="142"/>
      <c r="J71" s="143"/>
    </row>
    <row r="72" spans="1:10" ht="29.25" customHeight="1" x14ac:dyDescent="0.25">
      <c r="A72" s="100" t="s">
        <v>67</v>
      </c>
      <c r="B72" s="101"/>
      <c r="C72" s="101"/>
      <c r="D72" s="101"/>
      <c r="E72" s="101"/>
      <c r="F72" s="101"/>
      <c r="G72" s="101"/>
      <c r="H72" s="101"/>
      <c r="I72" s="101"/>
      <c r="J72" s="102"/>
    </row>
    <row r="73" spans="1:10" ht="51.75" customHeight="1" x14ac:dyDescent="0.25">
      <c r="A73" s="19" t="s">
        <v>45</v>
      </c>
      <c r="B73" s="167" t="s">
        <v>68</v>
      </c>
      <c r="C73" s="167"/>
      <c r="D73" s="167"/>
      <c r="E73" s="167"/>
      <c r="F73" s="167"/>
      <c r="G73" s="167"/>
      <c r="H73" s="167"/>
      <c r="I73" s="167"/>
      <c r="J73" s="168"/>
    </row>
    <row r="74" spans="1:10" ht="18.75" x14ac:dyDescent="0.25">
      <c r="A74" s="134" t="s">
        <v>47</v>
      </c>
      <c r="B74" s="135"/>
      <c r="C74" s="135"/>
      <c r="D74" s="135"/>
      <c r="E74" s="135"/>
      <c r="F74" s="135"/>
      <c r="G74" s="135"/>
      <c r="H74" s="135"/>
      <c r="I74" s="135"/>
      <c r="J74" s="136"/>
    </row>
    <row r="75" spans="1:10" x14ac:dyDescent="0.25">
      <c r="A75" s="122" t="s">
        <v>17</v>
      </c>
      <c r="B75" s="123"/>
      <c r="C75" s="123"/>
      <c r="D75" s="123"/>
      <c r="E75" s="123"/>
      <c r="F75" s="123"/>
      <c r="G75" s="123"/>
      <c r="H75" s="123"/>
      <c r="I75" s="123"/>
      <c r="J75" s="124"/>
    </row>
    <row r="76" spans="1:10" x14ac:dyDescent="0.25">
      <c r="A76" s="125" t="s">
        <v>18</v>
      </c>
      <c r="B76" s="126"/>
      <c r="C76" s="126" t="s">
        <v>19</v>
      </c>
      <c r="D76" s="126"/>
      <c r="E76" s="126"/>
      <c r="F76" s="126" t="s">
        <v>20</v>
      </c>
      <c r="G76" s="126"/>
      <c r="H76" s="126"/>
      <c r="I76" s="126" t="s">
        <v>21</v>
      </c>
      <c r="J76" s="127"/>
    </row>
    <row r="77" spans="1:10" x14ac:dyDescent="0.25">
      <c r="A77" s="173">
        <v>500000000</v>
      </c>
      <c r="B77" s="174"/>
      <c r="C77" s="174">
        <v>625000000</v>
      </c>
      <c r="D77" s="174"/>
      <c r="E77" s="174"/>
      <c r="F77" s="174">
        <v>500000000</v>
      </c>
      <c r="G77" s="174"/>
      <c r="H77" s="174"/>
      <c r="I77" s="175">
        <f>F77/C77</f>
        <v>0.8</v>
      </c>
      <c r="J77" s="176"/>
    </row>
    <row r="78" spans="1:10" ht="16.5" thickBot="1" x14ac:dyDescent="0.3">
      <c r="A78" s="112" t="s">
        <v>69</v>
      </c>
      <c r="B78" s="113"/>
      <c r="C78" s="113"/>
      <c r="D78" s="113"/>
      <c r="E78" s="113"/>
      <c r="F78" s="113"/>
      <c r="G78" s="113"/>
      <c r="H78" s="113"/>
      <c r="I78" s="113"/>
      <c r="J78" s="114"/>
    </row>
    <row r="79" spans="1:10" x14ac:dyDescent="0.25">
      <c r="A79" s="177"/>
      <c r="B79" s="178"/>
      <c r="C79" s="169" t="s">
        <v>23</v>
      </c>
      <c r="D79" s="170"/>
      <c r="E79" s="171" t="s">
        <v>24</v>
      </c>
      <c r="F79" s="170"/>
      <c r="G79" s="171" t="s">
        <v>25</v>
      </c>
      <c r="H79" s="170"/>
      <c r="I79" s="153" t="s">
        <v>26</v>
      </c>
      <c r="J79" s="179"/>
    </row>
    <row r="80" spans="1:10" ht="31.5" x14ac:dyDescent="0.25">
      <c r="A80" s="9" t="s">
        <v>27</v>
      </c>
      <c r="B80" s="10" t="s">
        <v>28</v>
      </c>
      <c r="C80" s="10" t="s">
        <v>29</v>
      </c>
      <c r="D80" s="10" t="s">
        <v>30</v>
      </c>
      <c r="E80" s="10" t="s">
        <v>31</v>
      </c>
      <c r="F80" s="10" t="s">
        <v>32</v>
      </c>
      <c r="G80" s="10" t="s">
        <v>33</v>
      </c>
      <c r="H80" s="10" t="s">
        <v>34</v>
      </c>
      <c r="I80" s="10" t="s">
        <v>35</v>
      </c>
      <c r="J80" s="11" t="s">
        <v>36</v>
      </c>
    </row>
    <row r="81" spans="1:10" ht="105" customHeight="1" x14ac:dyDescent="0.25">
      <c r="A81" s="12" t="s">
        <v>70</v>
      </c>
      <c r="B81" s="23" t="s">
        <v>71</v>
      </c>
      <c r="C81" s="37">
        <v>2</v>
      </c>
      <c r="D81" s="37">
        <f>+C77</f>
        <v>625000000</v>
      </c>
      <c r="E81" s="37">
        <v>2</v>
      </c>
      <c r="F81" s="14">
        <v>125000000</v>
      </c>
      <c r="G81" s="24">
        <v>0</v>
      </c>
      <c r="H81" s="14">
        <v>125000000</v>
      </c>
      <c r="I81" s="38" t="s">
        <v>72</v>
      </c>
      <c r="J81" s="26">
        <f>+Tabla13459101112131011[[#This Row],[Financiera  (F)]]/Tabla13459101112131011[[#This Row],[Financiera (D)]]</f>
        <v>1</v>
      </c>
    </row>
    <row r="82" spans="1:10" ht="18.75" x14ac:dyDescent="0.25">
      <c r="A82" s="159" t="s">
        <v>39</v>
      </c>
      <c r="B82" s="160"/>
      <c r="C82" s="160"/>
      <c r="D82" s="160"/>
      <c r="E82" s="160"/>
      <c r="F82" s="160"/>
      <c r="G82" s="160"/>
      <c r="H82" s="160"/>
      <c r="I82" s="160"/>
      <c r="J82" s="161"/>
    </row>
    <row r="83" spans="1:10" ht="105" customHeight="1" x14ac:dyDescent="0.25">
      <c r="A83" s="19" t="s">
        <v>51</v>
      </c>
      <c r="B83" s="167" t="s">
        <v>73</v>
      </c>
      <c r="C83" s="167"/>
      <c r="D83" s="167"/>
      <c r="E83" s="167"/>
      <c r="F83" s="167"/>
      <c r="G83" s="167"/>
      <c r="H83" s="167"/>
      <c r="I83" s="167"/>
      <c r="J83" s="168"/>
    </row>
    <row r="84" spans="1:10" ht="108" customHeight="1" x14ac:dyDescent="0.25">
      <c r="A84" s="27" t="s">
        <v>52</v>
      </c>
      <c r="B84" s="186" t="s">
        <v>84</v>
      </c>
      <c r="C84" s="186"/>
      <c r="D84" s="186"/>
      <c r="E84" s="186"/>
      <c r="F84" s="186"/>
      <c r="G84" s="186"/>
      <c r="H84" s="186"/>
      <c r="I84" s="186"/>
      <c r="J84" s="187"/>
    </row>
    <row r="85" spans="1:10" x14ac:dyDescent="0.25">
      <c r="A85" s="27" t="s">
        <v>74</v>
      </c>
      <c r="B85" s="186" t="s">
        <v>75</v>
      </c>
      <c r="C85" s="186"/>
      <c r="D85" s="186"/>
      <c r="E85" s="186"/>
      <c r="F85" s="186"/>
      <c r="G85" s="186"/>
      <c r="H85" s="186"/>
      <c r="I85" s="186"/>
      <c r="J85" s="187"/>
    </row>
    <row r="86" spans="1:10" x14ac:dyDescent="0.25">
      <c r="A86" s="39"/>
      <c r="B86" s="40"/>
      <c r="C86" s="40"/>
      <c r="D86" s="40"/>
      <c r="E86" s="40"/>
      <c r="F86" s="40"/>
      <c r="G86" s="40"/>
      <c r="H86" s="40"/>
      <c r="I86" s="40"/>
      <c r="J86" s="41"/>
    </row>
    <row r="87" spans="1:10" x14ac:dyDescent="0.25">
      <c r="A87" s="39"/>
      <c r="B87" s="40"/>
      <c r="C87" s="40"/>
      <c r="D87" s="40"/>
      <c r="E87" s="40"/>
      <c r="F87" s="40"/>
      <c r="G87" s="40"/>
      <c r="H87" s="40"/>
      <c r="I87" s="40"/>
      <c r="J87" s="41"/>
    </row>
    <row r="88" spans="1:10" s="43" customFormat="1" ht="18.75" x14ac:dyDescent="0.3">
      <c r="A88" s="188" t="s">
        <v>76</v>
      </c>
      <c r="B88" s="189"/>
      <c r="C88" s="189"/>
      <c r="D88" s="189"/>
      <c r="E88" s="42"/>
      <c r="F88" s="189" t="s">
        <v>77</v>
      </c>
      <c r="G88" s="189"/>
      <c r="H88" s="189"/>
      <c r="I88" s="189"/>
      <c r="J88" s="190"/>
    </row>
    <row r="89" spans="1:10" ht="49.5" customHeight="1" x14ac:dyDescent="0.25">
      <c r="A89" s="39"/>
      <c r="B89" s="40"/>
      <c r="C89" s="40"/>
      <c r="D89" s="40"/>
      <c r="E89" s="40"/>
      <c r="F89" s="40"/>
      <c r="G89" s="40"/>
      <c r="H89" s="40"/>
      <c r="I89" s="40"/>
      <c r="J89" s="41"/>
    </row>
    <row r="90" spans="1:10" ht="33" customHeight="1" x14ac:dyDescent="0.25">
      <c r="A90" s="39"/>
      <c r="B90" s="40"/>
      <c r="C90" s="40"/>
      <c r="D90" s="40"/>
      <c r="E90" s="40"/>
      <c r="G90" s="40"/>
      <c r="H90" s="40"/>
      <c r="I90" s="40"/>
      <c r="J90" s="41"/>
    </row>
    <row r="91" spans="1:10" s="43" customFormat="1" ht="18.75" x14ac:dyDescent="0.3">
      <c r="A91" s="180" t="s">
        <v>88</v>
      </c>
      <c r="B91" s="181"/>
      <c r="C91" s="181"/>
      <c r="D91" s="181"/>
      <c r="E91" s="42"/>
      <c r="F91" s="181" t="s">
        <v>78</v>
      </c>
      <c r="G91" s="181"/>
      <c r="H91" s="181"/>
      <c r="I91" s="181"/>
      <c r="J91" s="182"/>
    </row>
    <row r="92" spans="1:10" x14ac:dyDescent="0.25">
      <c r="A92" s="183" t="s">
        <v>79</v>
      </c>
      <c r="B92" s="184"/>
      <c r="C92" s="184"/>
      <c r="D92" s="184"/>
      <c r="E92" s="40"/>
      <c r="F92" s="184" t="s">
        <v>80</v>
      </c>
      <c r="G92" s="184"/>
      <c r="H92" s="184"/>
      <c r="I92" s="184"/>
      <c r="J92" s="185"/>
    </row>
    <row r="93" spans="1:10" ht="16.5" thickBot="1" x14ac:dyDescent="0.3">
      <c r="A93" s="44"/>
      <c r="B93" s="45"/>
      <c r="C93" s="45"/>
      <c r="D93" s="45"/>
      <c r="E93" s="45"/>
      <c r="F93" s="45"/>
      <c r="G93" s="45"/>
      <c r="H93" s="45"/>
      <c r="I93" s="45"/>
      <c r="J93" s="46"/>
    </row>
  </sheetData>
  <mergeCells count="130">
    <mergeCell ref="A91:D91"/>
    <mergeCell ref="F91:J91"/>
    <mergeCell ref="A92:D92"/>
    <mergeCell ref="F92:J92"/>
    <mergeCell ref="A82:J82"/>
    <mergeCell ref="B83:J83"/>
    <mergeCell ref="B84:J84"/>
    <mergeCell ref="B85:J85"/>
    <mergeCell ref="A88:D88"/>
    <mergeCell ref="F88:J88"/>
    <mergeCell ref="A77:B77"/>
    <mergeCell ref="C77:E77"/>
    <mergeCell ref="F77:H77"/>
    <mergeCell ref="I77:J77"/>
    <mergeCell ref="A78:J78"/>
    <mergeCell ref="A79:B79"/>
    <mergeCell ref="C79:D79"/>
    <mergeCell ref="E79:F79"/>
    <mergeCell ref="G79:H79"/>
    <mergeCell ref="I79:J79"/>
    <mergeCell ref="A74:J74"/>
    <mergeCell ref="A75:J75"/>
    <mergeCell ref="A76:B76"/>
    <mergeCell ref="C76:E76"/>
    <mergeCell ref="F76:H76"/>
    <mergeCell ref="I76:J76"/>
    <mergeCell ref="A68:J68"/>
    <mergeCell ref="B69:J69"/>
    <mergeCell ref="B70:J70"/>
    <mergeCell ref="B71:J71"/>
    <mergeCell ref="A72:J72"/>
    <mergeCell ref="B73:J73"/>
    <mergeCell ref="A63:B63"/>
    <mergeCell ref="C63:E63"/>
    <mergeCell ref="F63:H63"/>
    <mergeCell ref="I63:J63"/>
    <mergeCell ref="A64:J64"/>
    <mergeCell ref="A65:B65"/>
    <mergeCell ref="C65:D65"/>
    <mergeCell ref="E65:F65"/>
    <mergeCell ref="G65:H65"/>
    <mergeCell ref="I65:J65"/>
    <mergeCell ref="A60:J60"/>
    <mergeCell ref="A61:J61"/>
    <mergeCell ref="A62:B62"/>
    <mergeCell ref="C62:E62"/>
    <mergeCell ref="F62:H62"/>
    <mergeCell ref="I62:J62"/>
    <mergeCell ref="B54:J54"/>
    <mergeCell ref="B55:J55"/>
    <mergeCell ref="B56:J56"/>
    <mergeCell ref="A57:J57"/>
    <mergeCell ref="A58:J58"/>
    <mergeCell ref="B59:J59"/>
    <mergeCell ref="A49:J49"/>
    <mergeCell ref="C50:D50"/>
    <mergeCell ref="E50:F50"/>
    <mergeCell ref="G50:H50"/>
    <mergeCell ref="I50:J50"/>
    <mergeCell ref="A53:J53"/>
    <mergeCell ref="A46:J46"/>
    <mergeCell ref="A47:B47"/>
    <mergeCell ref="C47:E47"/>
    <mergeCell ref="F47:H47"/>
    <mergeCell ref="I47:J47"/>
    <mergeCell ref="A48:B48"/>
    <mergeCell ref="C48:E48"/>
    <mergeCell ref="F48:H48"/>
    <mergeCell ref="I48:J48"/>
    <mergeCell ref="B40:J40"/>
    <mergeCell ref="B41:J41"/>
    <mergeCell ref="A42:J42"/>
    <mergeCell ref="A43:J43"/>
    <mergeCell ref="B44:J44"/>
    <mergeCell ref="A45:J45"/>
    <mergeCell ref="A34:J34"/>
    <mergeCell ref="B35:J35"/>
    <mergeCell ref="B36:J36"/>
    <mergeCell ref="B37:J37"/>
    <mergeCell ref="A38:J38"/>
    <mergeCell ref="B39:J39"/>
    <mergeCell ref="A29:B29"/>
    <mergeCell ref="C29:E29"/>
    <mergeCell ref="F29:H29"/>
    <mergeCell ref="I29:J29"/>
    <mergeCell ref="A30:J30"/>
    <mergeCell ref="A31:B31"/>
    <mergeCell ref="C31:D31"/>
    <mergeCell ref="E31:F31"/>
    <mergeCell ref="G31:H31"/>
    <mergeCell ref="I31:J31"/>
    <mergeCell ref="A26:J26"/>
    <mergeCell ref="A27:J27"/>
    <mergeCell ref="A28:B28"/>
    <mergeCell ref="C28:E28"/>
    <mergeCell ref="F28:H28"/>
    <mergeCell ref="I28:J28"/>
    <mergeCell ref="A20:J20"/>
    <mergeCell ref="B21:J21"/>
    <mergeCell ref="B22:J22"/>
    <mergeCell ref="B23:J23"/>
    <mergeCell ref="A24:J24"/>
    <mergeCell ref="B25:J25"/>
    <mergeCell ref="A16:J16"/>
    <mergeCell ref="A17:B17"/>
    <mergeCell ref="C17:D17"/>
    <mergeCell ref="E17:F17"/>
    <mergeCell ref="G17:H17"/>
    <mergeCell ref="I17:J17"/>
    <mergeCell ref="A13:J13"/>
    <mergeCell ref="A14:B14"/>
    <mergeCell ref="C14:E14"/>
    <mergeCell ref="F14:H14"/>
    <mergeCell ref="I14:J14"/>
    <mergeCell ref="A15:B15"/>
    <mergeCell ref="C15:E15"/>
    <mergeCell ref="F15:H15"/>
    <mergeCell ref="I15:J15"/>
    <mergeCell ref="B7:J7"/>
    <mergeCell ref="A8:J8"/>
    <mergeCell ref="A9:J9"/>
    <mergeCell ref="B10:J10"/>
    <mergeCell ref="B11:J11"/>
    <mergeCell ref="A12:J12"/>
    <mergeCell ref="A1:J1"/>
    <mergeCell ref="A2:J2"/>
    <mergeCell ref="B3:J3"/>
    <mergeCell ref="B4:J4"/>
    <mergeCell ref="B5:J5"/>
    <mergeCell ref="B6:J6"/>
  </mergeCells>
  <dataValidations count="15">
    <dataValidation allowBlank="1" showInputMessage="1" showErrorMessage="1" prompt="¿A quién va dirigido el programa?, ¿qué característica tiene esta población que requiere ser beneficiada?" sqref="B11:J11 B40:J40" xr:uid="{5A5AE8B0-48E5-4DA6-9C73-35F29B05FDB4}"/>
    <dataValidation allowBlank="1" showInputMessage="1" showErrorMessage="1" prompt="1. Describir lo plasmado en el presupuesto_x000a_2. Describir lo alcanzado en términos financieros y de producción " sqref="B83:J83 B21:J21 B54:J54 B69:J69 B35:J35" xr:uid="{7387E4DF-1D7E-45D8-A646-E7502C39F111}"/>
    <dataValidation allowBlank="1" showInputMessage="1" showErrorMessage="1" prompt="De existir desvío, explicar razones." sqref="B22:J23 B39:B41 B84:J85 B55:J56 A38 B36:B37 B70:J71" xr:uid="{0E7593D3-7E65-48B0-A24D-2E444F5B49D7}"/>
    <dataValidation allowBlank="1" showInputMessage="1" showErrorMessage="1" prompt="Presupuesto del programa" sqref="A15:C15 F15 A29:C29 F29 A48:C48 F48 A63:C63 F63 A77:C77 F77" xr:uid="{8D7EA330-893F-4669-A56C-2B42A6EA69A3}"/>
    <dataValidation allowBlank="1" showInputMessage="1" showErrorMessage="1" prompt="¿En qué consiste el programa?" sqref="B10:J10 B39:J39" xr:uid="{E2894C81-DDE4-491A-A4A1-215046367B8F}"/>
    <dataValidation allowBlank="1" showInputMessage="1" showErrorMessage="1" prompt="Nombre de cada producto" sqref="A18:A19 A32:A33 A66:A67 A51:A52 A80:A81" xr:uid="{06E330AC-AF59-418F-AD2F-8CA4D21AEAC0}"/>
    <dataValidation allowBlank="1" showInputMessage="1" showErrorMessage="1" prompt="Nombre del indicador" sqref="B66:B67 B32:B33 B18:B19 B51:B52 B80:B81" xr:uid="{C07AC43F-EB4F-42D3-8B90-559BD078AB87}"/>
    <dataValidation allowBlank="1" showInputMessage="1" showErrorMessage="1" prompt="Meta anual del indicador" sqref="C18:C19 E18 C33 C51:C52 E51 C66:C67 E66 C80:C81 E80" xr:uid="{184392B5-98CE-4FC2-86FF-8E7FB124DC15}"/>
    <dataValidation allowBlank="1" showInputMessage="1" showErrorMessage="1" prompt="Monto presupuestado para el producto" sqref="D18:D19 F18 E19 D33:F33 D51:D52 F51:F52 E52 D66:D67 F66:F67 D80:D81 F80 E81" xr:uid="{C5D33060-28A1-4E84-BF6C-2293A68DD6BB}"/>
    <dataValidation allowBlank="1" showInputMessage="1" showErrorMessage="1" prompt="Meta alcanzada en el trimestre" sqref="G18:G19 G33 G51 G66:G67 G80:G81" xr:uid="{B509B4FD-1B29-4CD8-A958-C48F81DA72B2}"/>
    <dataValidation allowBlank="1" showInputMessage="1" showErrorMessage="1" prompt="Monto ejecutado en el trimestre" sqref="H18:H19 H33 H51:H52 H66:H67 H80" xr:uid="{FEC38A5E-D394-4503-A681-E4A3197F5D30}"/>
    <dataValidation allowBlank="1" showInputMessage="1" showErrorMessage="1" prompt="Nombre del producto" sqref="A12 A43 A58 A72" xr:uid="{FFC3C784-E30B-448F-8C05-461C4C22A77B}"/>
    <dataValidation allowBlank="1" showInputMessage="1" showErrorMessage="1" prompt="¿En qué consiste el producto? su objetivo" sqref="B73:J73 B44:J44 B59:J59 B25:J25" xr:uid="{563B421D-E6BA-44A2-A865-7C9989A5DA42}"/>
    <dataValidation allowBlank="1" sqref="A3" xr:uid="{618EDFF3-96A2-455C-AEE7-4041291EEBED}"/>
    <dataValidation allowBlank="1" showInputMessage="1" prompt="Nombre del capítulo" sqref="B3:J5" xr:uid="{D2BE8A62-D6F8-495F-B410-D735E02EBB54}"/>
  </dataValidations>
  <pageMargins left="0.19" right="0.17" top="0.28000000000000003" bottom="0.36" header="0.37" footer="0.05"/>
  <pageSetup scale="53" fitToHeight="0" orientation="portrait" r:id="rId1"/>
  <tableParts count="5">
    <tablePart r:id="rId2"/>
    <tablePart r:id="rId3"/>
    <tablePart r:id="rId4"/>
    <tablePart r:id="rId5"/>
    <tablePart r:id="rId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5C3CE-519B-47E4-ACBA-9F69249D3553}">
  <sheetPr>
    <tabColor rgb="FF92D050"/>
    <pageSetUpPr fitToPage="1"/>
  </sheetPr>
  <dimension ref="A1:K93"/>
  <sheetViews>
    <sheetView topLeftCell="A84" zoomScaleNormal="100" zoomScaleSheetLayoutView="85" zoomScalePageLayoutView="85" workbookViewId="0">
      <selection activeCell="J89" sqref="J89"/>
    </sheetView>
  </sheetViews>
  <sheetFormatPr baseColWidth="10" defaultColWidth="11.42578125" defaultRowHeight="15.75" x14ac:dyDescent="0.25"/>
  <cols>
    <col min="1" max="1" width="28.5703125" style="5" customWidth="1"/>
    <col min="2" max="2" width="27.140625" style="5" customWidth="1"/>
    <col min="3" max="3" width="14.28515625" style="5" customWidth="1"/>
    <col min="4" max="4" width="16.5703125" style="5" customWidth="1"/>
    <col min="5" max="5" width="13.7109375" style="5" customWidth="1"/>
    <col min="6" max="6" width="19.7109375" style="5" customWidth="1"/>
    <col min="7" max="7" width="12.7109375" style="5" customWidth="1"/>
    <col min="8" max="8" width="18.85546875" style="5" customWidth="1"/>
    <col min="9" max="9" width="17.140625" style="5" customWidth="1"/>
    <col min="10" max="10" width="21.28515625" style="5" customWidth="1"/>
    <col min="11" max="11" width="14.7109375" style="83" customWidth="1"/>
    <col min="12" max="16384" width="11.42578125" style="1"/>
  </cols>
  <sheetData>
    <row r="1" spans="1:11" ht="146.25" customHeight="1" thickBot="1" x14ac:dyDescent="0.3">
      <c r="A1" s="103" t="s">
        <v>146</v>
      </c>
      <c r="B1" s="104"/>
      <c r="C1" s="104"/>
      <c r="D1" s="104"/>
      <c r="E1" s="104"/>
      <c r="F1" s="104"/>
      <c r="G1" s="104"/>
      <c r="H1" s="104"/>
      <c r="I1" s="104"/>
      <c r="J1" s="105"/>
    </row>
    <row r="2" spans="1:11" ht="24" thickBot="1" x14ac:dyDescent="0.3">
      <c r="A2" s="92" t="s">
        <v>0</v>
      </c>
      <c r="B2" s="93"/>
      <c r="C2" s="93"/>
      <c r="D2" s="93"/>
      <c r="E2" s="93"/>
      <c r="F2" s="93"/>
      <c r="G2" s="93"/>
      <c r="H2" s="93"/>
      <c r="I2" s="93"/>
      <c r="J2" s="94"/>
    </row>
    <row r="3" spans="1:11" x14ac:dyDescent="0.25">
      <c r="A3" s="2" t="s">
        <v>1</v>
      </c>
      <c r="B3" s="106" t="s">
        <v>2</v>
      </c>
      <c r="C3" s="106"/>
      <c r="D3" s="106"/>
      <c r="E3" s="106"/>
      <c r="F3" s="106"/>
      <c r="G3" s="106"/>
      <c r="H3" s="106"/>
      <c r="I3" s="106"/>
      <c r="J3" s="107"/>
    </row>
    <row r="4" spans="1:11" ht="15" customHeight="1" x14ac:dyDescent="0.25">
      <c r="A4" s="3" t="s">
        <v>3</v>
      </c>
      <c r="B4" s="108" t="s">
        <v>4</v>
      </c>
      <c r="C4" s="108"/>
      <c r="D4" s="108"/>
      <c r="E4" s="108"/>
      <c r="F4" s="108"/>
      <c r="G4" s="108"/>
      <c r="H4" s="108"/>
      <c r="I4" s="108"/>
      <c r="J4" s="109"/>
    </row>
    <row r="5" spans="1:11" x14ac:dyDescent="0.25">
      <c r="A5" s="3" t="s">
        <v>5</v>
      </c>
      <c r="B5" s="108" t="s">
        <v>4</v>
      </c>
      <c r="C5" s="108"/>
      <c r="D5" s="108"/>
      <c r="E5" s="108"/>
      <c r="F5" s="108"/>
      <c r="G5" s="108"/>
      <c r="H5" s="108"/>
      <c r="I5" s="108"/>
      <c r="J5" s="109"/>
    </row>
    <row r="6" spans="1:11" ht="31.5" customHeight="1" x14ac:dyDescent="0.25">
      <c r="A6" s="4" t="s">
        <v>6</v>
      </c>
      <c r="B6" s="110" t="s">
        <v>7</v>
      </c>
      <c r="C6" s="110"/>
      <c r="D6" s="110"/>
      <c r="E6" s="110"/>
      <c r="F6" s="110"/>
      <c r="G6" s="110"/>
      <c r="H6" s="110"/>
      <c r="I6" s="110"/>
      <c r="J6" s="111"/>
    </row>
    <row r="7" spans="1:11" ht="33.75" customHeight="1" thickBot="1" x14ac:dyDescent="0.3">
      <c r="A7" s="6" t="s">
        <v>8</v>
      </c>
      <c r="B7" s="90" t="s">
        <v>9</v>
      </c>
      <c r="C7" s="90"/>
      <c r="D7" s="90"/>
      <c r="E7" s="90"/>
      <c r="F7" s="90"/>
      <c r="G7" s="90"/>
      <c r="H7" s="90"/>
      <c r="I7" s="90"/>
      <c r="J7" s="91"/>
    </row>
    <row r="8" spans="1:11" ht="24" thickBot="1" x14ac:dyDescent="0.3">
      <c r="A8" s="92" t="s">
        <v>10</v>
      </c>
      <c r="B8" s="93"/>
      <c r="C8" s="93"/>
      <c r="D8" s="93"/>
      <c r="E8" s="93"/>
      <c r="F8" s="93"/>
      <c r="G8" s="93"/>
      <c r="H8" s="93"/>
      <c r="I8" s="93"/>
      <c r="J8" s="94"/>
    </row>
    <row r="9" spans="1:11" ht="21.75" customHeight="1" x14ac:dyDescent="0.25">
      <c r="A9" s="95" t="s">
        <v>11</v>
      </c>
      <c r="B9" s="96"/>
      <c r="C9" s="96"/>
      <c r="D9" s="96"/>
      <c r="E9" s="96"/>
      <c r="F9" s="96"/>
      <c r="G9" s="96"/>
      <c r="H9" s="96"/>
      <c r="I9" s="96"/>
      <c r="J9" s="97"/>
    </row>
    <row r="10" spans="1:11" ht="54" customHeight="1" x14ac:dyDescent="0.25">
      <c r="A10" s="7" t="s">
        <v>12</v>
      </c>
      <c r="B10" s="98" t="s">
        <v>13</v>
      </c>
      <c r="C10" s="98"/>
      <c r="D10" s="98"/>
      <c r="E10" s="98"/>
      <c r="F10" s="98"/>
      <c r="G10" s="98"/>
      <c r="H10" s="98"/>
      <c r="I10" s="98"/>
      <c r="J10" s="99"/>
    </row>
    <row r="11" spans="1:11" ht="24" customHeight="1" x14ac:dyDescent="0.25">
      <c r="A11" s="7" t="s">
        <v>14</v>
      </c>
      <c r="B11" s="98" t="s">
        <v>15</v>
      </c>
      <c r="C11" s="98"/>
      <c r="D11" s="98"/>
      <c r="E11" s="98"/>
      <c r="F11" s="98"/>
      <c r="G11" s="98"/>
      <c r="H11" s="98"/>
      <c r="I11" s="98"/>
      <c r="J11" s="99"/>
    </row>
    <row r="12" spans="1:11" ht="30.75" customHeight="1" x14ac:dyDescent="0.25">
      <c r="A12" s="100" t="s">
        <v>16</v>
      </c>
      <c r="B12" s="101"/>
      <c r="C12" s="101"/>
      <c r="D12" s="101"/>
      <c r="E12" s="101"/>
      <c r="F12" s="101"/>
      <c r="G12" s="101"/>
      <c r="H12" s="101"/>
      <c r="I12" s="101"/>
      <c r="J12" s="102"/>
    </row>
    <row r="13" spans="1:11" x14ac:dyDescent="0.25">
      <c r="A13" s="122" t="s">
        <v>17</v>
      </c>
      <c r="B13" s="123"/>
      <c r="C13" s="123"/>
      <c r="D13" s="123"/>
      <c r="E13" s="123"/>
      <c r="F13" s="123"/>
      <c r="G13" s="123"/>
      <c r="H13" s="123"/>
      <c r="I13" s="123"/>
      <c r="J13" s="124"/>
    </row>
    <row r="14" spans="1:11" ht="15" customHeight="1" x14ac:dyDescent="0.25">
      <c r="A14" s="125" t="s">
        <v>18</v>
      </c>
      <c r="B14" s="126"/>
      <c r="C14" s="126" t="s">
        <v>19</v>
      </c>
      <c r="D14" s="126"/>
      <c r="E14" s="126"/>
      <c r="F14" s="126" t="s">
        <v>20</v>
      </c>
      <c r="G14" s="126"/>
      <c r="H14" s="126"/>
      <c r="I14" s="126" t="s">
        <v>21</v>
      </c>
      <c r="J14" s="127"/>
    </row>
    <row r="15" spans="1:11" s="8" customFormat="1" x14ac:dyDescent="0.25">
      <c r="A15" s="128">
        <v>3450000</v>
      </c>
      <c r="B15" s="129"/>
      <c r="C15" s="130">
        <v>2050000</v>
      </c>
      <c r="D15" s="131"/>
      <c r="E15" s="129"/>
      <c r="F15" s="130">
        <f>+F36</f>
        <v>0</v>
      </c>
      <c r="G15" s="131"/>
      <c r="H15" s="129"/>
      <c r="I15" s="132">
        <f>+F15/C15</f>
        <v>0</v>
      </c>
      <c r="J15" s="133"/>
      <c r="K15" s="84"/>
    </row>
    <row r="16" spans="1:11" ht="16.5" thickBot="1" x14ac:dyDescent="0.3">
      <c r="A16" s="112" t="s">
        <v>125</v>
      </c>
      <c r="B16" s="113"/>
      <c r="C16" s="113"/>
      <c r="D16" s="113"/>
      <c r="E16" s="113"/>
      <c r="F16" s="113"/>
      <c r="G16" s="113"/>
      <c r="H16" s="113"/>
      <c r="I16" s="113"/>
      <c r="J16" s="114"/>
    </row>
    <row r="17" spans="1:11" ht="15.75" customHeight="1" thickBot="1" x14ac:dyDescent="0.3">
      <c r="A17" s="115"/>
      <c r="B17" s="116"/>
      <c r="C17" s="117" t="s">
        <v>23</v>
      </c>
      <c r="D17" s="118"/>
      <c r="E17" s="119" t="s">
        <v>124</v>
      </c>
      <c r="F17" s="118"/>
      <c r="G17" s="119" t="s">
        <v>126</v>
      </c>
      <c r="H17" s="118"/>
      <c r="I17" s="120" t="s">
        <v>26</v>
      </c>
      <c r="J17" s="121"/>
    </row>
    <row r="18" spans="1:11" ht="31.5" x14ac:dyDescent="0.25">
      <c r="A18" s="9" t="s">
        <v>27</v>
      </c>
      <c r="B18" s="10" t="s">
        <v>28</v>
      </c>
      <c r="C18" s="10" t="s">
        <v>29</v>
      </c>
      <c r="D18" s="10" t="s">
        <v>30</v>
      </c>
      <c r="E18" s="10" t="s">
        <v>31</v>
      </c>
      <c r="F18" s="10" t="s">
        <v>32</v>
      </c>
      <c r="G18" s="10" t="s">
        <v>33</v>
      </c>
      <c r="H18" s="10" t="s">
        <v>34</v>
      </c>
      <c r="I18" s="10" t="s">
        <v>35</v>
      </c>
      <c r="J18" s="11" t="s">
        <v>36</v>
      </c>
    </row>
    <row r="19" spans="1:11" s="18" customFormat="1" ht="69" customHeight="1" x14ac:dyDescent="0.25">
      <c r="A19" s="12" t="s">
        <v>37</v>
      </c>
      <c r="B19" s="13" t="s">
        <v>38</v>
      </c>
      <c r="C19" s="14">
        <v>100000</v>
      </c>
      <c r="D19" s="74">
        <v>2050000</v>
      </c>
      <c r="E19" s="14">
        <v>30998</v>
      </c>
      <c r="F19" s="14" cm="1">
        <f t="array" ref="F19">+Tabla1724719[Financiera (D)]+Tabla17241218[Financiera (D)]</f>
        <v>1908333.34</v>
      </c>
      <c r="G19" s="14" cm="1">
        <f t="array" ref="G19">+Tabla1724719[Física (E)]+Tabla17241218[Física (E)]</f>
        <v>141841</v>
      </c>
      <c r="H19" s="74" cm="1">
        <f t="array" ref="H19">+Tabla1724719[Financiera  (F)]+Tabla17241218[Financiera  (F)]</f>
        <v>0</v>
      </c>
      <c r="I19" s="16">
        <f>+Tabla172412182043[[#This Row],[Física (E)]]/Tabla172412182043[[#This Row],[Física (C)]]</f>
        <v>4.5758113426672686</v>
      </c>
      <c r="J19" s="17">
        <f>+Tabla172412182043[[#This Row],[Financiera  (F)]]/Tabla172412182043[[#This Row],[Financiera (D)]]</f>
        <v>0</v>
      </c>
      <c r="K19" s="85"/>
    </row>
    <row r="20" spans="1:11" x14ac:dyDescent="0.25">
      <c r="A20" s="137" t="s">
        <v>39</v>
      </c>
      <c r="B20" s="138"/>
      <c r="C20" s="138"/>
      <c r="D20" s="138"/>
      <c r="E20" s="138"/>
      <c r="F20" s="138"/>
      <c r="G20" s="138"/>
      <c r="H20" s="138"/>
      <c r="I20" s="138"/>
      <c r="J20" s="139"/>
    </row>
    <row r="21" spans="1:11" ht="75" customHeight="1" x14ac:dyDescent="0.25">
      <c r="A21" s="19" t="s">
        <v>40</v>
      </c>
      <c r="B21" s="140" t="s">
        <v>129</v>
      </c>
      <c r="C21" s="140"/>
      <c r="D21" s="140"/>
      <c r="E21" s="140"/>
      <c r="F21" s="140"/>
      <c r="G21" s="140"/>
      <c r="H21" s="140"/>
      <c r="I21" s="140"/>
      <c r="J21" s="141"/>
    </row>
    <row r="22" spans="1:11" ht="89.25" customHeight="1" x14ac:dyDescent="0.25">
      <c r="A22" s="19" t="s">
        <v>41</v>
      </c>
      <c r="B22" s="142" t="s">
        <v>144</v>
      </c>
      <c r="C22" s="142"/>
      <c r="D22" s="142"/>
      <c r="E22" s="142"/>
      <c r="F22" s="142"/>
      <c r="G22" s="142"/>
      <c r="H22" s="142"/>
      <c r="I22" s="142"/>
      <c r="J22" s="143"/>
      <c r="K22" s="86"/>
    </row>
    <row r="23" spans="1:11" ht="268.14999999999998" customHeight="1" x14ac:dyDescent="0.25">
      <c r="A23" s="19" t="s">
        <v>42</v>
      </c>
      <c r="B23" s="142" t="s">
        <v>130</v>
      </c>
      <c r="C23" s="142"/>
      <c r="D23" s="142"/>
      <c r="E23" s="142"/>
      <c r="F23" s="142"/>
      <c r="G23" s="142"/>
      <c r="H23" s="142"/>
      <c r="I23" s="142"/>
      <c r="J23" s="143"/>
      <c r="K23" s="86"/>
    </row>
    <row r="24" spans="1:11" s="5" customFormat="1" ht="34.5" customHeight="1" x14ac:dyDescent="0.25">
      <c r="A24" s="100" t="s">
        <v>44</v>
      </c>
      <c r="B24" s="101"/>
      <c r="C24" s="101"/>
      <c r="D24" s="101"/>
      <c r="E24" s="101"/>
      <c r="F24" s="101"/>
      <c r="G24" s="101"/>
      <c r="H24" s="101"/>
      <c r="I24" s="101"/>
      <c r="J24" s="102"/>
      <c r="K24" s="83"/>
    </row>
    <row r="25" spans="1:11" ht="33" customHeight="1" x14ac:dyDescent="0.25">
      <c r="A25" s="19" t="s">
        <v>45</v>
      </c>
      <c r="B25" s="98" t="s">
        <v>46</v>
      </c>
      <c r="C25" s="98"/>
      <c r="D25" s="98"/>
      <c r="E25" s="98"/>
      <c r="F25" s="98"/>
      <c r="G25" s="98"/>
      <c r="H25" s="98"/>
      <c r="I25" s="98"/>
      <c r="J25" s="99"/>
    </row>
    <row r="26" spans="1:11" ht="18.75" x14ac:dyDescent="0.25">
      <c r="A26" s="134" t="s">
        <v>47</v>
      </c>
      <c r="B26" s="135"/>
      <c r="C26" s="135"/>
      <c r="D26" s="135"/>
      <c r="E26" s="135"/>
      <c r="F26" s="135"/>
      <c r="G26" s="135"/>
      <c r="H26" s="135"/>
      <c r="I26" s="135"/>
      <c r="J26" s="136"/>
    </row>
    <row r="27" spans="1:11" s="5" customFormat="1" x14ac:dyDescent="0.25">
      <c r="A27" s="122" t="s">
        <v>17</v>
      </c>
      <c r="B27" s="123"/>
      <c r="C27" s="123"/>
      <c r="D27" s="123"/>
      <c r="E27" s="123"/>
      <c r="F27" s="123"/>
      <c r="G27" s="123"/>
      <c r="H27" s="123"/>
      <c r="I27" s="123"/>
      <c r="J27" s="124"/>
      <c r="K27" s="83"/>
    </row>
    <row r="28" spans="1:11" s="5" customFormat="1" ht="15.6" customHeight="1" x14ac:dyDescent="0.25">
      <c r="A28" s="125" t="s">
        <v>18</v>
      </c>
      <c r="B28" s="126"/>
      <c r="C28" s="126" t="s">
        <v>19</v>
      </c>
      <c r="D28" s="126"/>
      <c r="E28" s="126"/>
      <c r="F28" s="126" t="s">
        <v>20</v>
      </c>
      <c r="G28" s="126"/>
      <c r="H28" s="126"/>
      <c r="I28" s="126" t="s">
        <v>21</v>
      </c>
      <c r="J28" s="127"/>
      <c r="K28" s="83"/>
    </row>
    <row r="29" spans="1:11" s="5" customFormat="1" x14ac:dyDescent="0.25">
      <c r="A29" s="144">
        <v>100000</v>
      </c>
      <c r="B29" s="145"/>
      <c r="C29" s="145">
        <v>100000</v>
      </c>
      <c r="D29" s="145"/>
      <c r="E29" s="145"/>
      <c r="F29" s="145">
        <f>+Hoja3!F62</f>
        <v>92062.5</v>
      </c>
      <c r="G29" s="145"/>
      <c r="H29" s="145"/>
      <c r="I29" s="146">
        <f>+F29/C29</f>
        <v>0.92062500000000003</v>
      </c>
      <c r="J29" s="147"/>
      <c r="K29" s="83"/>
    </row>
    <row r="30" spans="1:11" s="5" customFormat="1" ht="16.5" thickBot="1" x14ac:dyDescent="0.3">
      <c r="A30" s="112" t="s">
        <v>125</v>
      </c>
      <c r="B30" s="113"/>
      <c r="C30" s="113"/>
      <c r="D30" s="113"/>
      <c r="E30" s="113"/>
      <c r="F30" s="113"/>
      <c r="G30" s="113"/>
      <c r="H30" s="113"/>
      <c r="I30" s="113"/>
      <c r="J30" s="114"/>
      <c r="K30" s="83"/>
    </row>
    <row r="31" spans="1:11" s="5" customFormat="1" ht="15.6" customHeight="1" x14ac:dyDescent="0.25">
      <c r="A31" s="148"/>
      <c r="B31" s="149"/>
      <c r="C31" s="150" t="s">
        <v>23</v>
      </c>
      <c r="D31" s="151"/>
      <c r="E31" s="152" t="s">
        <v>124</v>
      </c>
      <c r="F31" s="151"/>
      <c r="G31" s="152" t="s">
        <v>126</v>
      </c>
      <c r="H31" s="151"/>
      <c r="I31" s="153" t="s">
        <v>26</v>
      </c>
      <c r="J31" s="154"/>
      <c r="K31" s="83"/>
    </row>
    <row r="32" spans="1:11" s="5" customFormat="1" ht="31.5" x14ac:dyDescent="0.25">
      <c r="A32" s="9" t="s">
        <v>27</v>
      </c>
      <c r="B32" s="10" t="s">
        <v>28</v>
      </c>
      <c r="C32" s="21" t="s">
        <v>29</v>
      </c>
      <c r="D32" s="22" t="s">
        <v>30</v>
      </c>
      <c r="E32" s="22" t="s">
        <v>31</v>
      </c>
      <c r="F32" s="22" t="s">
        <v>32</v>
      </c>
      <c r="G32" s="22" t="s">
        <v>33</v>
      </c>
      <c r="H32" s="22" t="s">
        <v>48</v>
      </c>
      <c r="I32" s="10" t="s">
        <v>35</v>
      </c>
      <c r="J32" s="11" t="s">
        <v>36</v>
      </c>
      <c r="K32" s="83"/>
    </row>
    <row r="33" spans="1:11" ht="78" customHeight="1" x14ac:dyDescent="0.25">
      <c r="A33" s="12" t="s">
        <v>49</v>
      </c>
      <c r="B33" s="23" t="s">
        <v>50</v>
      </c>
      <c r="C33" s="14">
        <v>100</v>
      </c>
      <c r="D33" s="14">
        <v>100000</v>
      </c>
      <c r="E33" s="14">
        <v>30</v>
      </c>
      <c r="F33" s="14">
        <v>50000</v>
      </c>
      <c r="G33" s="14">
        <v>124</v>
      </c>
      <c r="H33" s="14">
        <v>6756.75</v>
      </c>
      <c r="I33" s="25">
        <f>+Tabla1768252640[[#This Row],[Física (E)]]/Tabla1768252640[[#This Row],[Física (C)]]</f>
        <v>4.1333333333333337</v>
      </c>
      <c r="J33" s="26">
        <f>+Tabla1768252640[[#This Row],[Financiera (F)]]/Tabla1768252640[[#This Row],[Financiera (D)]]</f>
        <v>0.13513500000000001</v>
      </c>
    </row>
    <row r="34" spans="1:11" ht="18.75" x14ac:dyDescent="0.25">
      <c r="A34" s="159" t="s">
        <v>39</v>
      </c>
      <c r="B34" s="160"/>
      <c r="C34" s="160"/>
      <c r="D34" s="160"/>
      <c r="E34" s="160"/>
      <c r="F34" s="160"/>
      <c r="G34" s="160"/>
      <c r="H34" s="160"/>
      <c r="I34" s="160"/>
      <c r="J34" s="161"/>
    </row>
    <row r="35" spans="1:11" ht="71.25" customHeight="1" x14ac:dyDescent="0.25">
      <c r="A35" s="19" t="s">
        <v>51</v>
      </c>
      <c r="B35" s="162" t="s">
        <v>141</v>
      </c>
      <c r="C35" s="162"/>
      <c r="D35" s="162"/>
      <c r="E35" s="162"/>
      <c r="F35" s="162"/>
      <c r="G35" s="162"/>
      <c r="H35" s="162"/>
      <c r="I35" s="162"/>
      <c r="J35" s="163"/>
    </row>
    <row r="36" spans="1:11" ht="74.25" customHeight="1" x14ac:dyDescent="0.25">
      <c r="A36" s="27" t="s">
        <v>52</v>
      </c>
      <c r="B36" s="162" t="s">
        <v>142</v>
      </c>
      <c r="C36" s="162"/>
      <c r="D36" s="162"/>
      <c r="E36" s="162"/>
      <c r="F36" s="162"/>
      <c r="G36" s="162"/>
      <c r="H36" s="162"/>
      <c r="I36" s="162"/>
      <c r="J36" s="163"/>
      <c r="K36" s="87"/>
    </row>
    <row r="37" spans="1:11" ht="107.45" customHeight="1" x14ac:dyDescent="0.25">
      <c r="A37" s="27" t="s">
        <v>42</v>
      </c>
      <c r="B37" s="162" t="s">
        <v>143</v>
      </c>
      <c r="C37" s="162"/>
      <c r="D37" s="162"/>
      <c r="E37" s="162"/>
      <c r="F37" s="162"/>
      <c r="G37" s="162"/>
      <c r="H37" s="162"/>
      <c r="I37" s="162"/>
      <c r="J37" s="163"/>
    </row>
    <row r="38" spans="1:11" ht="19.5" customHeight="1" x14ac:dyDescent="0.25">
      <c r="A38" s="164" t="s">
        <v>53</v>
      </c>
      <c r="B38" s="165"/>
      <c r="C38" s="165"/>
      <c r="D38" s="165"/>
      <c r="E38" s="165"/>
      <c r="F38" s="165"/>
      <c r="G38" s="165"/>
      <c r="H38" s="165"/>
      <c r="I38" s="165"/>
      <c r="J38" s="166"/>
    </row>
    <row r="39" spans="1:11" ht="67.5" customHeight="1" x14ac:dyDescent="0.25">
      <c r="A39" s="7" t="s">
        <v>12</v>
      </c>
      <c r="B39" s="167" t="s">
        <v>54</v>
      </c>
      <c r="C39" s="167"/>
      <c r="D39" s="167"/>
      <c r="E39" s="167"/>
      <c r="F39" s="167"/>
      <c r="G39" s="167"/>
      <c r="H39" s="167"/>
      <c r="I39" s="167"/>
      <c r="J39" s="168"/>
    </row>
    <row r="40" spans="1:11" ht="20.25" customHeight="1" x14ac:dyDescent="0.25">
      <c r="A40" s="7" t="s">
        <v>14</v>
      </c>
      <c r="B40" s="98" t="s">
        <v>55</v>
      </c>
      <c r="C40" s="98"/>
      <c r="D40" s="98"/>
      <c r="E40" s="98"/>
      <c r="F40" s="98"/>
      <c r="G40" s="98"/>
      <c r="H40" s="98"/>
      <c r="I40" s="98"/>
      <c r="J40" s="99"/>
    </row>
    <row r="41" spans="1:11" ht="20.25" customHeight="1" x14ac:dyDescent="0.25">
      <c r="A41" s="7" t="s">
        <v>56</v>
      </c>
      <c r="B41" s="155" t="s">
        <v>57</v>
      </c>
      <c r="C41" s="98"/>
      <c r="D41" s="98"/>
      <c r="E41" s="98"/>
      <c r="F41" s="98"/>
      <c r="G41" s="98"/>
      <c r="H41" s="98"/>
      <c r="I41" s="98"/>
      <c r="J41" s="99"/>
    </row>
    <row r="42" spans="1:11" ht="20.25" customHeight="1" x14ac:dyDescent="0.25">
      <c r="A42" s="156"/>
      <c r="B42" s="157"/>
      <c r="C42" s="157"/>
      <c r="D42" s="157"/>
      <c r="E42" s="157"/>
      <c r="F42" s="157"/>
      <c r="G42" s="157"/>
      <c r="H42" s="157"/>
      <c r="I42" s="157"/>
      <c r="J42" s="158"/>
    </row>
    <row r="43" spans="1:11" ht="27" customHeight="1" x14ac:dyDescent="0.25">
      <c r="A43" s="100" t="s">
        <v>58</v>
      </c>
      <c r="B43" s="101"/>
      <c r="C43" s="101"/>
      <c r="D43" s="101"/>
      <c r="E43" s="101"/>
      <c r="F43" s="101"/>
      <c r="G43" s="101"/>
      <c r="H43" s="101"/>
      <c r="I43" s="101"/>
      <c r="J43" s="102"/>
    </row>
    <row r="44" spans="1:11" ht="26.25" customHeight="1" x14ac:dyDescent="0.25">
      <c r="A44" s="19" t="s">
        <v>45</v>
      </c>
      <c r="B44" s="98" t="s">
        <v>59</v>
      </c>
      <c r="C44" s="98"/>
      <c r="D44" s="98"/>
      <c r="E44" s="98"/>
      <c r="F44" s="98"/>
      <c r="G44" s="98"/>
      <c r="H44" s="98"/>
      <c r="I44" s="98"/>
      <c r="J44" s="99"/>
    </row>
    <row r="45" spans="1:11" ht="18.75" x14ac:dyDescent="0.25">
      <c r="A45" s="134" t="s">
        <v>47</v>
      </c>
      <c r="B45" s="135"/>
      <c r="C45" s="135"/>
      <c r="D45" s="135"/>
      <c r="E45" s="135"/>
      <c r="F45" s="135"/>
      <c r="G45" s="135"/>
      <c r="H45" s="135"/>
      <c r="I45" s="135"/>
      <c r="J45" s="136"/>
    </row>
    <row r="46" spans="1:11" x14ac:dyDescent="0.25">
      <c r="A46" s="122" t="s">
        <v>17</v>
      </c>
      <c r="B46" s="123"/>
      <c r="C46" s="123"/>
      <c r="D46" s="123"/>
      <c r="E46" s="123"/>
      <c r="F46" s="123"/>
      <c r="G46" s="123"/>
      <c r="H46" s="123"/>
      <c r="I46" s="123"/>
      <c r="J46" s="124"/>
    </row>
    <row r="47" spans="1:11" x14ac:dyDescent="0.25">
      <c r="A47" s="125" t="s">
        <v>18</v>
      </c>
      <c r="B47" s="126"/>
      <c r="C47" s="126" t="s">
        <v>19</v>
      </c>
      <c r="D47" s="126"/>
      <c r="E47" s="126"/>
      <c r="F47" s="126" t="s">
        <v>20</v>
      </c>
      <c r="G47" s="126"/>
      <c r="H47" s="126"/>
      <c r="I47" s="126" t="s">
        <v>21</v>
      </c>
      <c r="J47" s="127"/>
    </row>
    <row r="48" spans="1:11" x14ac:dyDescent="0.25">
      <c r="A48" s="173">
        <v>2051192175</v>
      </c>
      <c r="B48" s="174"/>
      <c r="C48" s="174">
        <v>2051192175</v>
      </c>
      <c r="D48" s="174"/>
      <c r="E48" s="174"/>
      <c r="F48" s="174">
        <f>+Hoja3!F100</f>
        <v>1600474205.0599999</v>
      </c>
      <c r="G48" s="174"/>
      <c r="H48" s="174"/>
      <c r="I48" s="175">
        <f>F48/C48</f>
        <v>0.78026536204975527</v>
      </c>
      <c r="J48" s="176"/>
    </row>
    <row r="49" spans="1:11" ht="16.5" thickBot="1" x14ac:dyDescent="0.3">
      <c r="A49" s="112" t="s">
        <v>22</v>
      </c>
      <c r="B49" s="113"/>
      <c r="C49" s="113"/>
      <c r="D49" s="113"/>
      <c r="E49" s="113"/>
      <c r="F49" s="113"/>
      <c r="G49" s="113"/>
      <c r="H49" s="113"/>
      <c r="I49" s="113"/>
      <c r="J49" s="114"/>
    </row>
    <row r="50" spans="1:11" x14ac:dyDescent="0.25">
      <c r="A50" s="28"/>
      <c r="B50" s="29"/>
      <c r="C50" s="169" t="s">
        <v>23</v>
      </c>
      <c r="D50" s="170"/>
      <c r="E50" s="171" t="s">
        <v>24</v>
      </c>
      <c r="F50" s="170"/>
      <c r="G50" s="171" t="s">
        <v>25</v>
      </c>
      <c r="H50" s="170"/>
      <c r="I50" s="153" t="s">
        <v>26</v>
      </c>
      <c r="J50" s="172"/>
    </row>
    <row r="51" spans="1:11" ht="31.5" x14ac:dyDescent="0.25">
      <c r="A51" s="9" t="s">
        <v>27</v>
      </c>
      <c r="B51" s="10" t="s">
        <v>28</v>
      </c>
      <c r="C51" s="10" t="s">
        <v>29</v>
      </c>
      <c r="D51" s="10" t="s">
        <v>30</v>
      </c>
      <c r="E51" s="10" t="s">
        <v>31</v>
      </c>
      <c r="F51" s="10" t="s">
        <v>32</v>
      </c>
      <c r="G51" s="10" t="s">
        <v>33</v>
      </c>
      <c r="H51" s="10" t="s">
        <v>34</v>
      </c>
      <c r="I51" s="10" t="s">
        <v>35</v>
      </c>
      <c r="J51" s="11" t="s">
        <v>36</v>
      </c>
    </row>
    <row r="52" spans="1:11" ht="31.5" x14ac:dyDescent="0.25">
      <c r="A52" s="30" t="s">
        <v>60</v>
      </c>
      <c r="B52" s="31" t="s">
        <v>61</v>
      </c>
      <c r="C52" s="32">
        <v>450000</v>
      </c>
      <c r="D52" s="32">
        <f>+C48</f>
        <v>2051192175</v>
      </c>
      <c r="E52" s="32">
        <v>85653</v>
      </c>
      <c r="F52" s="15">
        <v>1006346087.5</v>
      </c>
      <c r="G52" s="33">
        <v>121793</v>
      </c>
      <c r="H52" s="15">
        <v>1008800889.77</v>
      </c>
      <c r="I52" s="16">
        <f>+Tabla13458[[#This Row],[Física (E)]]/Tabla13458[[#This Row],[Física (C)]]</f>
        <v>1.4219350168703957</v>
      </c>
      <c r="J52" s="26">
        <f>+Tabla13458[[#This Row],[Financiera  (F)]]/Tabla13458[[#This Row],[Financiera (D)]]</f>
        <v>1.002439322118396</v>
      </c>
    </row>
    <row r="53" spans="1:11" ht="18.75" x14ac:dyDescent="0.25">
      <c r="A53" s="159" t="s">
        <v>39</v>
      </c>
      <c r="B53" s="160"/>
      <c r="C53" s="160"/>
      <c r="D53" s="160"/>
      <c r="E53" s="160"/>
      <c r="F53" s="160"/>
      <c r="G53" s="160"/>
      <c r="H53" s="160"/>
      <c r="I53" s="160"/>
      <c r="J53" s="161"/>
    </row>
    <row r="54" spans="1:11" ht="54.75" customHeight="1" x14ac:dyDescent="0.25">
      <c r="A54" s="19" t="s">
        <v>51</v>
      </c>
      <c r="B54" s="162" t="s">
        <v>62</v>
      </c>
      <c r="C54" s="162"/>
      <c r="D54" s="162"/>
      <c r="E54" s="162"/>
      <c r="F54" s="162"/>
      <c r="G54" s="162"/>
      <c r="H54" s="162"/>
      <c r="I54" s="162"/>
      <c r="J54" s="163"/>
    </row>
    <row r="55" spans="1:11" ht="108.75" customHeight="1" x14ac:dyDescent="0.25">
      <c r="A55" s="27" t="s">
        <v>52</v>
      </c>
      <c r="B55" s="142" t="s">
        <v>140</v>
      </c>
      <c r="C55" s="142"/>
      <c r="D55" s="142"/>
      <c r="E55" s="142"/>
      <c r="F55" s="142"/>
      <c r="G55" s="142"/>
      <c r="H55" s="142"/>
      <c r="I55" s="142"/>
      <c r="J55" s="143"/>
      <c r="K55" s="88"/>
    </row>
    <row r="56" spans="1:11" ht="224.45" customHeight="1" x14ac:dyDescent="0.25">
      <c r="A56" s="27" t="s">
        <v>42</v>
      </c>
      <c r="B56" s="142" t="s">
        <v>132</v>
      </c>
      <c r="C56" s="142"/>
      <c r="D56" s="142"/>
      <c r="E56" s="142"/>
      <c r="F56" s="142"/>
      <c r="G56" s="142"/>
      <c r="H56" s="142"/>
      <c r="I56" s="142"/>
      <c r="J56" s="143"/>
    </row>
    <row r="57" spans="1:11" ht="20.25" customHeight="1" x14ac:dyDescent="0.25">
      <c r="A57" s="156"/>
      <c r="B57" s="157"/>
      <c r="C57" s="157"/>
      <c r="D57" s="157"/>
      <c r="E57" s="157"/>
      <c r="F57" s="157"/>
      <c r="G57" s="157"/>
      <c r="H57" s="157"/>
      <c r="I57" s="157"/>
      <c r="J57" s="158"/>
    </row>
    <row r="58" spans="1:11" ht="30" customHeight="1" x14ac:dyDescent="0.25">
      <c r="A58" s="100" t="s">
        <v>63</v>
      </c>
      <c r="B58" s="101"/>
      <c r="C58" s="101"/>
      <c r="D58" s="101"/>
      <c r="E58" s="101"/>
      <c r="F58" s="101"/>
      <c r="G58" s="101"/>
      <c r="H58" s="101"/>
      <c r="I58" s="101"/>
      <c r="J58" s="102"/>
    </row>
    <row r="59" spans="1:11" ht="15.6" customHeight="1" x14ac:dyDescent="0.25">
      <c r="A59" s="19" t="s">
        <v>45</v>
      </c>
      <c r="B59" s="98" t="s">
        <v>64</v>
      </c>
      <c r="C59" s="98"/>
      <c r="D59" s="98"/>
      <c r="E59" s="98"/>
      <c r="F59" s="98"/>
      <c r="G59" s="98"/>
      <c r="H59" s="98"/>
      <c r="I59" s="98"/>
      <c r="J59" s="99"/>
    </row>
    <row r="60" spans="1:11" ht="18.75" x14ac:dyDescent="0.25">
      <c r="A60" s="134" t="s">
        <v>47</v>
      </c>
      <c r="B60" s="135"/>
      <c r="C60" s="135"/>
      <c r="D60" s="135"/>
      <c r="E60" s="135"/>
      <c r="F60" s="135"/>
      <c r="G60" s="135"/>
      <c r="H60" s="135"/>
      <c r="I60" s="135"/>
      <c r="J60" s="136"/>
    </row>
    <row r="61" spans="1:11" x14ac:dyDescent="0.25">
      <c r="A61" s="122" t="s">
        <v>17</v>
      </c>
      <c r="B61" s="123"/>
      <c r="C61" s="123"/>
      <c r="D61" s="123"/>
      <c r="E61" s="123"/>
      <c r="F61" s="123"/>
      <c r="G61" s="123"/>
      <c r="H61" s="123"/>
      <c r="I61" s="123"/>
      <c r="J61" s="124"/>
    </row>
    <row r="62" spans="1:11" ht="15.6" customHeight="1" x14ac:dyDescent="0.25">
      <c r="A62" s="125" t="s">
        <v>18</v>
      </c>
      <c r="B62" s="126"/>
      <c r="C62" s="126" t="s">
        <v>19</v>
      </c>
      <c r="D62" s="126"/>
      <c r="E62" s="126"/>
      <c r="F62" s="126" t="s">
        <v>20</v>
      </c>
      <c r="G62" s="126"/>
      <c r="H62" s="126"/>
      <c r="I62" s="126" t="s">
        <v>21</v>
      </c>
      <c r="J62" s="127"/>
    </row>
    <row r="63" spans="1:11" x14ac:dyDescent="0.25">
      <c r="A63" s="173">
        <v>700000</v>
      </c>
      <c r="B63" s="174"/>
      <c r="C63" s="174">
        <v>934000</v>
      </c>
      <c r="D63" s="174"/>
      <c r="E63" s="174"/>
      <c r="F63" s="174">
        <f>+F49+F36</f>
        <v>0</v>
      </c>
      <c r="G63" s="174"/>
      <c r="H63" s="174"/>
      <c r="I63" s="175">
        <f>F63/C63</f>
        <v>0</v>
      </c>
      <c r="J63" s="176"/>
    </row>
    <row r="64" spans="1:11" ht="16.5" thickBot="1" x14ac:dyDescent="0.3">
      <c r="A64" s="112" t="s">
        <v>22</v>
      </c>
      <c r="B64" s="113"/>
      <c r="C64" s="113"/>
      <c r="D64" s="113"/>
      <c r="E64" s="113"/>
      <c r="F64" s="113"/>
      <c r="G64" s="113"/>
      <c r="H64" s="113"/>
      <c r="I64" s="113"/>
      <c r="J64" s="114"/>
    </row>
    <row r="65" spans="1:10" ht="15.6" customHeight="1" x14ac:dyDescent="0.25">
      <c r="A65" s="177"/>
      <c r="B65" s="178"/>
      <c r="C65" s="169" t="s">
        <v>23</v>
      </c>
      <c r="D65" s="170"/>
      <c r="E65" s="171" t="s">
        <v>24</v>
      </c>
      <c r="F65" s="170"/>
      <c r="G65" s="171" t="s">
        <v>25</v>
      </c>
      <c r="H65" s="170"/>
      <c r="I65" s="153" t="s">
        <v>26</v>
      </c>
      <c r="J65" s="179"/>
    </row>
    <row r="66" spans="1:10" ht="31.5" x14ac:dyDescent="0.25">
      <c r="A66" s="9" t="s">
        <v>27</v>
      </c>
      <c r="B66" s="10" t="s">
        <v>28</v>
      </c>
      <c r="C66" s="10" t="s">
        <v>29</v>
      </c>
      <c r="D66" s="10" t="s">
        <v>30</v>
      </c>
      <c r="E66" s="10" t="s">
        <v>31</v>
      </c>
      <c r="F66" s="10" t="s">
        <v>32</v>
      </c>
      <c r="G66" s="10" t="s">
        <v>33</v>
      </c>
      <c r="H66" s="10" t="s">
        <v>34</v>
      </c>
      <c r="I66" s="10" t="s">
        <v>35</v>
      </c>
      <c r="J66" s="11" t="s">
        <v>36</v>
      </c>
    </row>
    <row r="67" spans="1:10" ht="68.25" customHeight="1" x14ac:dyDescent="0.25">
      <c r="A67" s="12" t="s">
        <v>65</v>
      </c>
      <c r="B67" s="35" t="s">
        <v>66</v>
      </c>
      <c r="C67" s="32" cm="1">
        <f t="array" ref="C67">+Tabla1345910111213391032[Física (A)]+Tabla1345910111213391531[Física (A)]</f>
        <v>240000</v>
      </c>
      <c r="D67" s="32" cm="1">
        <f t="array" ref="D67">+Tabla1345910111213391032[Financiera (B)]+Tabla1345910111213391531[Financiera (B)]</f>
        <v>1868000</v>
      </c>
      <c r="E67" s="32" cm="1">
        <f t="array" ref="E67">+Tabla1345910111213391032[Física (C)]+Tabla1345910111213391531[Física (C)]</f>
        <v>40226</v>
      </c>
      <c r="F67" s="32" cm="1">
        <f t="array" ref="F67">+Tabla1345910111213391032[Financiera (D)]+Tabla1345910111213391531[Financiera (D)]</f>
        <v>466666.66</v>
      </c>
      <c r="G67" s="32" cm="1">
        <f t="array" ref="G67">+Tabla1345910111213391032[Física (E)]+Tabla1345910111213391531[Física (E)]</f>
        <v>57092</v>
      </c>
      <c r="H67" s="32" cm="1">
        <f t="array" ref="H67">+Tabla1345910111213391032[Financiera  (F)]+Tabla1345910111213391531[Financiera  (F)]</f>
        <v>770710</v>
      </c>
      <c r="I67" s="16">
        <f>G67/E67</f>
        <v>1.4192810619997016</v>
      </c>
      <c r="J67" s="26">
        <f>+Tabla13459101112133910323334[[#This Row],[Financiera  (F)]]/Tabla13459101112133910323334[[#This Row],[Financiera (D)]]</f>
        <v>1.6515214521645922</v>
      </c>
    </row>
    <row r="68" spans="1:10" ht="18.75" x14ac:dyDescent="0.25">
      <c r="A68" s="159" t="s">
        <v>39</v>
      </c>
      <c r="B68" s="160"/>
      <c r="C68" s="160"/>
      <c r="D68" s="160"/>
      <c r="E68" s="160"/>
      <c r="F68" s="160"/>
      <c r="G68" s="160"/>
      <c r="H68" s="160"/>
      <c r="I68" s="160"/>
      <c r="J68" s="161"/>
    </row>
    <row r="69" spans="1:10" ht="163.5" customHeight="1" x14ac:dyDescent="0.25">
      <c r="A69" s="19" t="s">
        <v>51</v>
      </c>
      <c r="B69" s="162" t="s">
        <v>138</v>
      </c>
      <c r="C69" s="162"/>
      <c r="D69" s="162"/>
      <c r="E69" s="162"/>
      <c r="F69" s="162"/>
      <c r="G69" s="162"/>
      <c r="H69" s="162"/>
      <c r="I69" s="162"/>
      <c r="J69" s="163"/>
    </row>
    <row r="70" spans="1:10" ht="82.15" customHeight="1" x14ac:dyDescent="0.25">
      <c r="A70" s="27" t="s">
        <v>52</v>
      </c>
      <c r="B70" s="142" t="s">
        <v>139</v>
      </c>
      <c r="C70" s="142"/>
      <c r="D70" s="142"/>
      <c r="E70" s="142"/>
      <c r="F70" s="142"/>
      <c r="G70" s="142"/>
      <c r="H70" s="142"/>
      <c r="I70" s="142"/>
      <c r="J70" s="143"/>
    </row>
    <row r="71" spans="1:10" ht="199.15" customHeight="1" x14ac:dyDescent="0.25">
      <c r="A71" s="27" t="s">
        <v>42</v>
      </c>
      <c r="B71" s="142" t="s">
        <v>133</v>
      </c>
      <c r="C71" s="142"/>
      <c r="D71" s="142"/>
      <c r="E71" s="142"/>
      <c r="F71" s="142"/>
      <c r="G71" s="142"/>
      <c r="H71" s="142"/>
      <c r="I71" s="142"/>
      <c r="J71" s="143"/>
    </row>
    <row r="72" spans="1:10" ht="29.25" customHeight="1" x14ac:dyDescent="0.25">
      <c r="A72" s="100" t="s">
        <v>67</v>
      </c>
      <c r="B72" s="101"/>
      <c r="C72" s="101"/>
      <c r="D72" s="101"/>
      <c r="E72" s="101"/>
      <c r="F72" s="101"/>
      <c r="G72" s="101"/>
      <c r="H72" s="101"/>
      <c r="I72" s="101"/>
      <c r="J72" s="102"/>
    </row>
    <row r="73" spans="1:10" ht="51.75" customHeight="1" x14ac:dyDescent="0.25">
      <c r="A73" s="19" t="s">
        <v>45</v>
      </c>
      <c r="B73" s="167" t="s">
        <v>68</v>
      </c>
      <c r="C73" s="167"/>
      <c r="D73" s="167"/>
      <c r="E73" s="167"/>
      <c r="F73" s="167"/>
      <c r="G73" s="167"/>
      <c r="H73" s="167"/>
      <c r="I73" s="167"/>
      <c r="J73" s="168"/>
    </row>
    <row r="74" spans="1:10" ht="18.75" x14ac:dyDescent="0.25">
      <c r="A74" s="134" t="s">
        <v>47</v>
      </c>
      <c r="B74" s="135"/>
      <c r="C74" s="135"/>
      <c r="D74" s="135"/>
      <c r="E74" s="135"/>
      <c r="F74" s="135"/>
      <c r="G74" s="135"/>
      <c r="H74" s="135"/>
      <c r="I74" s="135"/>
      <c r="J74" s="136"/>
    </row>
    <row r="75" spans="1:10" x14ac:dyDescent="0.25">
      <c r="A75" s="122" t="s">
        <v>17</v>
      </c>
      <c r="B75" s="123"/>
      <c r="C75" s="123"/>
      <c r="D75" s="123"/>
      <c r="E75" s="123"/>
      <c r="F75" s="123"/>
      <c r="G75" s="123"/>
      <c r="H75" s="123"/>
      <c r="I75" s="123"/>
      <c r="J75" s="124"/>
    </row>
    <row r="76" spans="1:10" x14ac:dyDescent="0.25">
      <c r="A76" s="125" t="s">
        <v>18</v>
      </c>
      <c r="B76" s="126"/>
      <c r="C76" s="126" t="s">
        <v>19</v>
      </c>
      <c r="D76" s="126"/>
      <c r="E76" s="126"/>
      <c r="F76" s="126" t="s">
        <v>20</v>
      </c>
      <c r="G76" s="126"/>
      <c r="H76" s="126"/>
      <c r="I76" s="126" t="s">
        <v>21</v>
      </c>
      <c r="J76" s="127"/>
    </row>
    <row r="77" spans="1:10" x14ac:dyDescent="0.25">
      <c r="A77" s="173">
        <v>500000000</v>
      </c>
      <c r="B77" s="174"/>
      <c r="C77" s="174">
        <v>625000000</v>
      </c>
      <c r="D77" s="174"/>
      <c r="E77" s="174"/>
      <c r="F77" s="174">
        <v>500000000</v>
      </c>
      <c r="G77" s="174"/>
      <c r="H77" s="174"/>
      <c r="I77" s="175">
        <f>F77/C77</f>
        <v>0.8</v>
      </c>
      <c r="J77" s="176"/>
    </row>
    <row r="78" spans="1:10" ht="16.5" thickBot="1" x14ac:dyDescent="0.3">
      <c r="A78" s="112" t="s">
        <v>69</v>
      </c>
      <c r="B78" s="113"/>
      <c r="C78" s="113"/>
      <c r="D78" s="113"/>
      <c r="E78" s="113"/>
      <c r="F78" s="113"/>
      <c r="G78" s="113"/>
      <c r="H78" s="113"/>
      <c r="I78" s="113"/>
      <c r="J78" s="114"/>
    </row>
    <row r="79" spans="1:10" x14ac:dyDescent="0.25">
      <c r="A79" s="177"/>
      <c r="B79" s="178"/>
      <c r="C79" s="169" t="s">
        <v>23</v>
      </c>
      <c r="D79" s="170"/>
      <c r="E79" s="171" t="s">
        <v>24</v>
      </c>
      <c r="F79" s="170"/>
      <c r="G79" s="171" t="s">
        <v>25</v>
      </c>
      <c r="H79" s="170"/>
      <c r="I79" s="153" t="s">
        <v>26</v>
      </c>
      <c r="J79" s="179"/>
    </row>
    <row r="80" spans="1:10" ht="31.5" x14ac:dyDescent="0.25">
      <c r="A80" s="9" t="s">
        <v>27</v>
      </c>
      <c r="B80" s="10" t="s">
        <v>28</v>
      </c>
      <c r="C80" s="10" t="s">
        <v>29</v>
      </c>
      <c r="D80" s="10" t="s">
        <v>30</v>
      </c>
      <c r="E80" s="10" t="s">
        <v>31</v>
      </c>
      <c r="F80" s="10" t="s">
        <v>32</v>
      </c>
      <c r="G80" s="10" t="s">
        <v>33</v>
      </c>
      <c r="H80" s="10" t="s">
        <v>34</v>
      </c>
      <c r="I80" s="10" t="s">
        <v>35</v>
      </c>
      <c r="J80" s="11" t="s">
        <v>36</v>
      </c>
    </row>
    <row r="81" spans="1:11" ht="105" customHeight="1" x14ac:dyDescent="0.25">
      <c r="A81" s="12" t="s">
        <v>70</v>
      </c>
      <c r="B81" s="23" t="s">
        <v>71</v>
      </c>
      <c r="C81" s="37" cm="1">
        <f t="array" ref="C81">+Tabla134591011121310113637[Física (A)]</f>
        <v>2</v>
      </c>
      <c r="D81" s="37" cm="1">
        <f t="array" ref="D81">+Tabla134591011121310113637[Financiera (B)]</f>
        <v>625000000</v>
      </c>
      <c r="E81" s="37" cm="1">
        <f t="array" ref="E81">+Tabla134591011121310113637[Física (C)]</f>
        <v>2</v>
      </c>
      <c r="F81" s="37" cm="1">
        <f t="array" ref="F81">+Tabla134591011121310113637[Financiera (D)]</f>
        <v>250000000</v>
      </c>
      <c r="G81" s="37" cm="1">
        <f t="array" ref="G81">+Tabla134591011121310113637[Física (E)]</f>
        <v>1</v>
      </c>
      <c r="H81" s="37" cm="1">
        <f t="array" ref="H81">+Tabla134591011121310113637[Financiera  (F)]</f>
        <v>250000000</v>
      </c>
      <c r="I81" s="38">
        <f>+Tabla134591011121310[[#This Row],[Física (E)]]/Tabla134591011121310[[#This Row],[Física (C)]]</f>
        <v>0.5</v>
      </c>
      <c r="J81" s="26">
        <f>+Tabla134591011121310[[#This Row],[Financiera  (F)]]/Tabla134591011121310[[#This Row],[Financiera (D)]]</f>
        <v>1</v>
      </c>
    </row>
    <row r="82" spans="1:11" ht="18.75" x14ac:dyDescent="0.25">
      <c r="A82" s="159" t="s">
        <v>39</v>
      </c>
      <c r="B82" s="160"/>
      <c r="C82" s="160"/>
      <c r="D82" s="160"/>
      <c r="E82" s="160"/>
      <c r="F82" s="160"/>
      <c r="G82" s="160"/>
      <c r="H82" s="160"/>
      <c r="I82" s="160"/>
      <c r="J82" s="161"/>
    </row>
    <row r="83" spans="1:11" ht="105" customHeight="1" x14ac:dyDescent="0.25">
      <c r="A83" s="19" t="s">
        <v>51</v>
      </c>
      <c r="B83" s="167" t="s">
        <v>135</v>
      </c>
      <c r="C83" s="167"/>
      <c r="D83" s="167"/>
      <c r="E83" s="167"/>
      <c r="F83" s="167"/>
      <c r="G83" s="167"/>
      <c r="H83" s="167"/>
      <c r="I83" s="167"/>
      <c r="J83" s="168"/>
    </row>
    <row r="84" spans="1:11" ht="91.9" customHeight="1" x14ac:dyDescent="0.25">
      <c r="A84" s="27" t="s">
        <v>52</v>
      </c>
      <c r="B84" s="186" t="s">
        <v>134</v>
      </c>
      <c r="C84" s="186"/>
      <c r="D84" s="186"/>
      <c r="E84" s="186"/>
      <c r="F84" s="186"/>
      <c r="G84" s="186"/>
      <c r="H84" s="186"/>
      <c r="I84" s="186"/>
      <c r="J84" s="187"/>
    </row>
    <row r="85" spans="1:11" x14ac:dyDescent="0.25">
      <c r="A85" s="27" t="s">
        <v>74</v>
      </c>
      <c r="B85" s="186" t="s">
        <v>136</v>
      </c>
      <c r="C85" s="186"/>
      <c r="D85" s="186"/>
      <c r="E85" s="186"/>
      <c r="F85" s="186"/>
      <c r="G85" s="186"/>
      <c r="H85" s="186"/>
      <c r="I85" s="186"/>
      <c r="J85" s="187"/>
    </row>
    <row r="86" spans="1:11" x14ac:dyDescent="0.25">
      <c r="A86" s="39"/>
      <c r="B86" s="40"/>
      <c r="C86" s="40"/>
      <c r="D86" s="40"/>
      <c r="E86" s="40"/>
      <c r="F86" s="40"/>
      <c r="G86" s="40"/>
      <c r="H86" s="40"/>
      <c r="I86" s="40"/>
      <c r="J86" s="41"/>
    </row>
    <row r="87" spans="1:11" x14ac:dyDescent="0.25">
      <c r="A87" s="39"/>
      <c r="B87" s="40"/>
      <c r="C87" s="40"/>
      <c r="D87" s="40"/>
      <c r="E87" s="40"/>
      <c r="F87" s="40"/>
      <c r="G87" s="40"/>
      <c r="H87" s="40"/>
      <c r="I87" s="40"/>
      <c r="J87" s="41"/>
    </row>
    <row r="88" spans="1:11" s="43" customFormat="1" ht="18.75" x14ac:dyDescent="0.3">
      <c r="A88" s="188" t="s">
        <v>76</v>
      </c>
      <c r="B88" s="189"/>
      <c r="C88" s="189"/>
      <c r="D88" s="189"/>
      <c r="E88" s="42"/>
      <c r="F88" s="189" t="s">
        <v>77</v>
      </c>
      <c r="G88" s="189"/>
      <c r="H88" s="189"/>
      <c r="I88" s="189"/>
      <c r="J88" s="190"/>
      <c r="K88" s="89"/>
    </row>
    <row r="89" spans="1:11" ht="49.5" customHeight="1" x14ac:dyDescent="0.25">
      <c r="A89" s="39"/>
      <c r="B89" s="40"/>
      <c r="C89" s="40"/>
      <c r="D89" s="40"/>
      <c r="E89" s="40"/>
      <c r="F89" s="40"/>
      <c r="G89" s="40"/>
      <c r="H89" s="40"/>
      <c r="I89" s="40"/>
      <c r="J89" s="41"/>
    </row>
    <row r="90" spans="1:11" ht="33" customHeight="1" x14ac:dyDescent="0.25">
      <c r="A90" s="39"/>
      <c r="B90" s="40"/>
      <c r="C90" s="40"/>
      <c r="D90" s="40"/>
      <c r="E90" s="40"/>
      <c r="G90" s="40"/>
      <c r="H90" s="40"/>
      <c r="I90" s="40"/>
      <c r="J90" s="41"/>
    </row>
    <row r="91" spans="1:11" s="43" customFormat="1" ht="18.75" x14ac:dyDescent="0.3">
      <c r="A91" s="180" t="s">
        <v>88</v>
      </c>
      <c r="B91" s="181"/>
      <c r="C91" s="181"/>
      <c r="D91" s="181"/>
      <c r="E91" s="42"/>
      <c r="F91" s="181" t="s">
        <v>78</v>
      </c>
      <c r="G91" s="181"/>
      <c r="H91" s="181"/>
      <c r="I91" s="181"/>
      <c r="J91" s="182"/>
      <c r="K91" s="89"/>
    </row>
    <row r="92" spans="1:11" x14ac:dyDescent="0.25">
      <c r="A92" s="183" t="s">
        <v>79</v>
      </c>
      <c r="B92" s="184"/>
      <c r="C92" s="184"/>
      <c r="D92" s="184"/>
      <c r="E92" s="40"/>
      <c r="F92" s="184" t="s">
        <v>80</v>
      </c>
      <c r="G92" s="184"/>
      <c r="H92" s="184"/>
      <c r="I92" s="184"/>
      <c r="J92" s="185"/>
    </row>
    <row r="93" spans="1:11" ht="16.5" thickBot="1" x14ac:dyDescent="0.3">
      <c r="A93" s="44"/>
      <c r="B93" s="45"/>
      <c r="C93" s="45"/>
      <c r="D93" s="45"/>
      <c r="E93" s="45"/>
      <c r="F93" s="45"/>
      <c r="G93" s="45"/>
      <c r="H93" s="45"/>
      <c r="I93" s="45"/>
      <c r="J93" s="46"/>
    </row>
  </sheetData>
  <mergeCells count="130">
    <mergeCell ref="B7:J7"/>
    <mergeCell ref="A8:J8"/>
    <mergeCell ref="A9:J9"/>
    <mergeCell ref="B10:J10"/>
    <mergeCell ref="B11:J11"/>
    <mergeCell ref="A12:J12"/>
    <mergeCell ref="A1:J1"/>
    <mergeCell ref="A2:J2"/>
    <mergeCell ref="B3:J3"/>
    <mergeCell ref="B4:J4"/>
    <mergeCell ref="B5:J5"/>
    <mergeCell ref="B6:J6"/>
    <mergeCell ref="A16:J16"/>
    <mergeCell ref="A17:B17"/>
    <mergeCell ref="C17:D17"/>
    <mergeCell ref="E17:F17"/>
    <mergeCell ref="G17:H17"/>
    <mergeCell ref="I17:J17"/>
    <mergeCell ref="A13:J13"/>
    <mergeCell ref="A14:B14"/>
    <mergeCell ref="C14:E14"/>
    <mergeCell ref="F14:H14"/>
    <mergeCell ref="I14:J14"/>
    <mergeCell ref="A15:B15"/>
    <mergeCell ref="C15:E15"/>
    <mergeCell ref="F15:H15"/>
    <mergeCell ref="I15:J15"/>
    <mergeCell ref="A26:J26"/>
    <mergeCell ref="A27:J27"/>
    <mergeCell ref="A28:B28"/>
    <mergeCell ref="C28:E28"/>
    <mergeCell ref="F28:H28"/>
    <mergeCell ref="I28:J28"/>
    <mergeCell ref="A20:J20"/>
    <mergeCell ref="B21:J21"/>
    <mergeCell ref="B22:J22"/>
    <mergeCell ref="B23:J23"/>
    <mergeCell ref="A24:J24"/>
    <mergeCell ref="B25:J25"/>
    <mergeCell ref="A29:B29"/>
    <mergeCell ref="C29:E29"/>
    <mergeCell ref="F29:H29"/>
    <mergeCell ref="I29:J29"/>
    <mergeCell ref="A30:J30"/>
    <mergeCell ref="A31:B31"/>
    <mergeCell ref="C31:D31"/>
    <mergeCell ref="E31:F31"/>
    <mergeCell ref="G31:H31"/>
    <mergeCell ref="I31:J31"/>
    <mergeCell ref="B40:J40"/>
    <mergeCell ref="B41:J41"/>
    <mergeCell ref="A42:J42"/>
    <mergeCell ref="A43:J43"/>
    <mergeCell ref="B44:J44"/>
    <mergeCell ref="A45:J45"/>
    <mergeCell ref="A34:J34"/>
    <mergeCell ref="B35:J35"/>
    <mergeCell ref="B36:J36"/>
    <mergeCell ref="B37:J37"/>
    <mergeCell ref="A38:J38"/>
    <mergeCell ref="B39:J39"/>
    <mergeCell ref="A49:J49"/>
    <mergeCell ref="C50:D50"/>
    <mergeCell ref="E50:F50"/>
    <mergeCell ref="G50:H50"/>
    <mergeCell ref="I50:J50"/>
    <mergeCell ref="A53:J53"/>
    <mergeCell ref="A46:J46"/>
    <mergeCell ref="A47:B47"/>
    <mergeCell ref="C47:E47"/>
    <mergeCell ref="F47:H47"/>
    <mergeCell ref="I47:J47"/>
    <mergeCell ref="A48:B48"/>
    <mergeCell ref="C48:E48"/>
    <mergeCell ref="F48:H48"/>
    <mergeCell ref="I48:J48"/>
    <mergeCell ref="A60:J60"/>
    <mergeCell ref="A61:J61"/>
    <mergeCell ref="A62:B62"/>
    <mergeCell ref="C62:E62"/>
    <mergeCell ref="F62:H62"/>
    <mergeCell ref="I62:J62"/>
    <mergeCell ref="B54:J54"/>
    <mergeCell ref="B55:J55"/>
    <mergeCell ref="B56:J56"/>
    <mergeCell ref="A57:J57"/>
    <mergeCell ref="A58:J58"/>
    <mergeCell ref="B59:J59"/>
    <mergeCell ref="A63:B63"/>
    <mergeCell ref="C63:E63"/>
    <mergeCell ref="F63:H63"/>
    <mergeCell ref="I63:J63"/>
    <mergeCell ref="A64:J64"/>
    <mergeCell ref="A65:B65"/>
    <mergeCell ref="C65:D65"/>
    <mergeCell ref="E65:F65"/>
    <mergeCell ref="G65:H65"/>
    <mergeCell ref="I65:J65"/>
    <mergeCell ref="A74:J74"/>
    <mergeCell ref="A75:J75"/>
    <mergeCell ref="A76:B76"/>
    <mergeCell ref="C76:E76"/>
    <mergeCell ref="F76:H76"/>
    <mergeCell ref="I76:J76"/>
    <mergeCell ref="A68:J68"/>
    <mergeCell ref="B69:J69"/>
    <mergeCell ref="B70:J70"/>
    <mergeCell ref="B71:J71"/>
    <mergeCell ref="A72:J72"/>
    <mergeCell ref="B73:J73"/>
    <mergeCell ref="A77:B77"/>
    <mergeCell ref="C77:E77"/>
    <mergeCell ref="F77:H77"/>
    <mergeCell ref="I77:J77"/>
    <mergeCell ref="A78:J78"/>
    <mergeCell ref="A79:B79"/>
    <mergeCell ref="C79:D79"/>
    <mergeCell ref="E79:F79"/>
    <mergeCell ref="G79:H79"/>
    <mergeCell ref="I79:J79"/>
    <mergeCell ref="A91:D91"/>
    <mergeCell ref="F91:J91"/>
    <mergeCell ref="A92:D92"/>
    <mergeCell ref="F92:J92"/>
    <mergeCell ref="A82:J82"/>
    <mergeCell ref="B83:J83"/>
    <mergeCell ref="B84:J84"/>
    <mergeCell ref="B85:J85"/>
    <mergeCell ref="A88:D88"/>
    <mergeCell ref="F88:J88"/>
  </mergeCells>
  <dataValidations xWindow="1747" yWindow="552" count="15">
    <dataValidation allowBlank="1" showInputMessage="1" prompt="Nombre del capítulo" sqref="B3:J5" xr:uid="{A7AF3E17-7CB3-42C3-9876-7A130FCB3160}"/>
    <dataValidation allowBlank="1" sqref="A3" xr:uid="{9648753D-0D3C-4AF1-829C-C8D4D968AE2E}"/>
    <dataValidation allowBlank="1" showInputMessage="1" showErrorMessage="1" prompt="¿En qué consiste el producto? su objetivo" sqref="B73:J73 B44:J44 B59:J59 B25:J25" xr:uid="{7C892718-1701-4A7E-B376-A80F10D77E6C}"/>
    <dataValidation allowBlank="1" showInputMessage="1" showErrorMessage="1" prompt="Nombre del producto" sqref="A72 A43 A58 A12" xr:uid="{A5ACB365-7FCE-45BB-8DE7-401FCD575C92}"/>
    <dataValidation allowBlank="1" showInputMessage="1" showErrorMessage="1" prompt="Monto ejecutado en el trimestre" sqref="H80 H66 H51:H52 H18" xr:uid="{4C56F538-3A64-4205-9B80-E73F6C722C7E}"/>
    <dataValidation allowBlank="1" showInputMessage="1" showErrorMessage="1" prompt="Meta alcanzada en el trimestre" sqref="G66 G80 G51 G18" xr:uid="{A5F83CB9-C528-40AA-9F4A-FD29F3D95EE1}"/>
    <dataValidation allowBlank="1" showInputMessage="1" showErrorMessage="1" prompt="Monto presupuestado para el producto" sqref="D80 D66 F80 F66 D51:D52 F51:F52 E52 D18:D19 F18" xr:uid="{1781CCF3-B79B-448D-AD66-8D5B36479B25}"/>
    <dataValidation allowBlank="1" showInputMessage="1" showErrorMessage="1" prompt="Meta anual del indicador" sqref="C80:C81 C51:C52 E51 E66:E67 D67 F67:H67 C66:C67 E80:E81 C33:H33 D81 F81:H81 E18:E19 F19:H19 C18:C19" xr:uid="{51E5B7B5-93FE-4535-8B07-7F573923B642}"/>
    <dataValidation allowBlank="1" showInputMessage="1" showErrorMessage="1" prompt="Nombre del indicador" sqref="B66:B67 B32:B33 B80:B81 B51:B52 B18:B19" xr:uid="{61400AA8-5083-41F1-9CF1-3D23B0869877}"/>
    <dataValidation allowBlank="1" showInputMessage="1" showErrorMessage="1" prompt="Nombre de cada producto" sqref="A80:A81 A32:A33 A66:A67 A51:A52 A18:A19" xr:uid="{013F5E7E-4AE2-421C-8FC5-C1A5F4115E82}"/>
    <dataValidation allowBlank="1" showInputMessage="1" showErrorMessage="1" prompt="¿En qué consiste el programa?" sqref="B10:J10 B39:J39" xr:uid="{8C45DAC9-8E16-4E4C-BB5A-E9DED977874E}"/>
    <dataValidation allowBlank="1" showInputMessage="1" showErrorMessage="1" prompt="Presupuesto del programa" sqref="A77:C77 F77 A29:C29 F29 A48:C48 F48 A63:C63 F63 A15:C15 F15" xr:uid="{09D8441C-B71A-423C-884F-61318A06B27B}"/>
    <dataValidation allowBlank="1" showInputMessage="1" showErrorMessage="1" prompt="De existir desvío, explicar razones." sqref="B22:J23 B39:B41 B84:J85 B55:J56 A38 B36:B37 B70:J71" xr:uid="{11F1A1FE-2B72-46C8-94B1-6EDEA32A77C7}"/>
    <dataValidation allowBlank="1" showInputMessage="1" showErrorMessage="1" prompt="1. Describir lo plasmado en el presupuesto_x000a_2. Describir lo alcanzado en términos financieros y de producción " sqref="B83:J83 B21:J21 B54:J54 B69:J69 B35:J35" xr:uid="{0ADFE4B1-7280-42A2-9E26-6B6AF8763BD9}"/>
    <dataValidation allowBlank="1" showInputMessage="1" showErrorMessage="1" prompt="¿A quién va dirigido el programa?, ¿qué característica tiene esta población que requiere ser beneficiada?" sqref="B11:J11 B40:J40" xr:uid="{D49DB6C6-BC96-484D-8395-C9A8ABD640CF}"/>
  </dataValidations>
  <pageMargins left="0.19" right="0.17" top="0.28000000000000003" bottom="0.36" header="0.37" footer="0.05"/>
  <pageSetup scale="53" fitToHeight="0" orientation="portrait" r:id="rId1"/>
  <tableParts count="5">
    <tablePart r:id="rId2"/>
    <tablePart r:id="rId3"/>
    <tablePart r:id="rId4"/>
    <tablePart r:id="rId5"/>
    <tablePart r:id="rId6"/>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212AD-5073-4FBC-9B22-706BFEA8E9BC}">
  <dimension ref="A2:P205"/>
  <sheetViews>
    <sheetView topLeftCell="A21" workbookViewId="0">
      <selection activeCell="E31" sqref="E31"/>
    </sheetView>
  </sheetViews>
  <sheetFormatPr baseColWidth="10" defaultRowHeight="15" x14ac:dyDescent="0.25"/>
  <cols>
    <col min="1" max="1" width="29.28515625" customWidth="1"/>
    <col min="2" max="2" width="21.42578125" customWidth="1"/>
    <col min="4" max="4" width="14.28515625" customWidth="1"/>
    <col min="6" max="6" width="35.28515625" customWidth="1"/>
    <col min="7" max="7" width="30.7109375" customWidth="1"/>
    <col min="8" max="8" width="17.7109375" customWidth="1"/>
    <col min="15" max="15" width="30.140625" customWidth="1"/>
    <col min="16" max="16" width="16.42578125" style="62" customWidth="1"/>
  </cols>
  <sheetData>
    <row r="2" spans="6:16" ht="15.75" thickBot="1" x14ac:dyDescent="0.3"/>
    <row r="3" spans="6:16" ht="15.75" thickBot="1" x14ac:dyDescent="0.3">
      <c r="F3" s="191" t="s">
        <v>27</v>
      </c>
      <c r="G3" s="193" t="s">
        <v>104</v>
      </c>
      <c r="H3" s="195" t="s">
        <v>105</v>
      </c>
      <c r="I3" s="196"/>
      <c r="J3" s="196"/>
      <c r="K3" s="196"/>
      <c r="L3" s="197"/>
    </row>
    <row r="4" spans="6:16" ht="26.25" thickBot="1" x14ac:dyDescent="0.3">
      <c r="F4" s="192"/>
      <c r="G4" s="194"/>
      <c r="H4" s="53" t="s">
        <v>106</v>
      </c>
      <c r="I4" s="53" t="s">
        <v>107</v>
      </c>
      <c r="J4" s="53" t="s">
        <v>108</v>
      </c>
      <c r="K4" s="53" t="s">
        <v>109</v>
      </c>
      <c r="L4" s="54" t="s">
        <v>110</v>
      </c>
      <c r="O4" s="52" t="s">
        <v>27</v>
      </c>
      <c r="P4" s="64" t="s">
        <v>128</v>
      </c>
    </row>
    <row r="5" spans="6:16" ht="26.25" thickBot="1" x14ac:dyDescent="0.3">
      <c r="F5" s="55" t="s">
        <v>65</v>
      </c>
      <c r="G5" s="56" t="s">
        <v>111</v>
      </c>
      <c r="H5" s="57">
        <v>37496</v>
      </c>
      <c r="I5" s="57">
        <v>42278</v>
      </c>
      <c r="J5" s="57">
        <v>29713</v>
      </c>
      <c r="K5" s="57">
        <v>10513</v>
      </c>
      <c r="L5" s="58">
        <v>120000</v>
      </c>
      <c r="O5" s="69" t="s">
        <v>65</v>
      </c>
      <c r="P5" s="70">
        <f>+K5+J5</f>
        <v>40226</v>
      </c>
    </row>
    <row r="6" spans="6:16" ht="39" thickBot="1" x14ac:dyDescent="0.3">
      <c r="F6" s="55" t="s">
        <v>37</v>
      </c>
      <c r="G6" s="56" t="s">
        <v>38</v>
      </c>
      <c r="H6" s="57">
        <v>50437</v>
      </c>
      <c r="I6" s="57">
        <v>18565</v>
      </c>
      <c r="J6" s="57">
        <v>17664</v>
      </c>
      <c r="K6" s="57">
        <v>13334</v>
      </c>
      <c r="L6" s="58">
        <v>100000</v>
      </c>
      <c r="O6" s="69" t="s">
        <v>37</v>
      </c>
      <c r="P6" s="70">
        <f t="shared" ref="P6:P10" si="0">+K6+J6</f>
        <v>30998</v>
      </c>
    </row>
    <row r="7" spans="6:16" ht="39" thickBot="1" x14ac:dyDescent="0.3">
      <c r="F7" s="55" t="s">
        <v>112</v>
      </c>
      <c r="G7" s="56" t="s">
        <v>113</v>
      </c>
      <c r="H7" s="59">
        <v>5</v>
      </c>
      <c r="I7" s="59">
        <v>15</v>
      </c>
      <c r="J7" s="59">
        <v>10</v>
      </c>
      <c r="K7" s="59">
        <v>20</v>
      </c>
      <c r="L7" s="60">
        <v>50</v>
      </c>
      <c r="O7" s="69" t="s">
        <v>112</v>
      </c>
      <c r="P7" s="70">
        <f t="shared" si="0"/>
        <v>30</v>
      </c>
    </row>
    <row r="8" spans="6:16" ht="26.25" thickBot="1" x14ac:dyDescent="0.3">
      <c r="F8" s="55" t="s">
        <v>114</v>
      </c>
      <c r="G8" s="61" t="s">
        <v>115</v>
      </c>
      <c r="H8" s="57">
        <v>1800</v>
      </c>
      <c r="I8" s="57">
        <v>1700</v>
      </c>
      <c r="J8" s="57">
        <v>1700</v>
      </c>
      <c r="K8" s="57">
        <v>1800</v>
      </c>
      <c r="L8" s="58">
        <v>7000</v>
      </c>
      <c r="O8" s="69" t="s">
        <v>114</v>
      </c>
      <c r="P8" s="70">
        <f t="shared" si="0"/>
        <v>3500</v>
      </c>
    </row>
    <row r="9" spans="6:16" ht="26.25" thickBot="1" x14ac:dyDescent="0.3">
      <c r="F9" s="55" t="s">
        <v>60</v>
      </c>
      <c r="G9" s="56" t="s">
        <v>116</v>
      </c>
      <c r="H9" s="57">
        <v>150574</v>
      </c>
      <c r="I9" s="57">
        <v>106841</v>
      </c>
      <c r="J9" s="57">
        <v>106932</v>
      </c>
      <c r="K9" s="57">
        <v>85653</v>
      </c>
      <c r="L9" s="58">
        <v>450000</v>
      </c>
      <c r="O9" s="69" t="s">
        <v>60</v>
      </c>
      <c r="P9" s="70">
        <f t="shared" si="0"/>
        <v>192585</v>
      </c>
    </row>
    <row r="10" spans="6:16" ht="51.75" thickBot="1" x14ac:dyDescent="0.3">
      <c r="F10" s="55" t="s">
        <v>70</v>
      </c>
      <c r="G10" s="56" t="s">
        <v>117</v>
      </c>
      <c r="H10" s="59">
        <v>0</v>
      </c>
      <c r="I10" s="59">
        <v>0</v>
      </c>
      <c r="J10" s="59">
        <v>0</v>
      </c>
      <c r="K10" s="59">
        <v>2</v>
      </c>
      <c r="L10" s="60">
        <v>2</v>
      </c>
      <c r="O10" s="69" t="s">
        <v>70</v>
      </c>
      <c r="P10" s="70">
        <f t="shared" si="0"/>
        <v>2</v>
      </c>
    </row>
    <row r="13" spans="6:16" ht="15.75" thickBot="1" x14ac:dyDescent="0.3"/>
    <row r="14" spans="6:16" ht="27" customHeight="1" x14ac:dyDescent="0.25">
      <c r="F14" s="191" t="s">
        <v>27</v>
      </c>
      <c r="G14" s="193" t="s">
        <v>104</v>
      </c>
      <c r="H14" s="200" t="s">
        <v>118</v>
      </c>
    </row>
    <row r="15" spans="6:16" x14ac:dyDescent="0.25">
      <c r="F15" s="198"/>
      <c r="G15" s="199"/>
      <c r="H15" s="200"/>
    </row>
    <row r="16" spans="6:16" ht="25.5" x14ac:dyDescent="0.25">
      <c r="F16" s="69" t="s">
        <v>65</v>
      </c>
      <c r="G16" s="69" t="s">
        <v>111</v>
      </c>
      <c r="H16" s="73">
        <f>+J5+K5</f>
        <v>40226</v>
      </c>
    </row>
    <row r="17" spans="1:11" ht="38.25" x14ac:dyDescent="0.25">
      <c r="F17" s="72" t="s">
        <v>37</v>
      </c>
      <c r="G17" s="69" t="s">
        <v>38</v>
      </c>
      <c r="H17" s="73">
        <f>+J6+K6</f>
        <v>30998</v>
      </c>
    </row>
    <row r="18" spans="1:11" ht="38.25" x14ac:dyDescent="0.25">
      <c r="F18" s="69" t="s">
        <v>112</v>
      </c>
      <c r="G18" s="69" t="s">
        <v>113</v>
      </c>
      <c r="H18" s="73">
        <f t="shared" ref="H18:H21" si="1">+J7+K7</f>
        <v>30</v>
      </c>
    </row>
    <row r="19" spans="1:11" ht="25.5" x14ac:dyDescent="0.25">
      <c r="F19" s="69" t="s">
        <v>114</v>
      </c>
      <c r="G19" s="71" t="s">
        <v>115</v>
      </c>
      <c r="H19" s="70">
        <f t="shared" si="1"/>
        <v>3500</v>
      </c>
      <c r="K19" s="18"/>
    </row>
    <row r="20" spans="1:11" ht="25.5" x14ac:dyDescent="0.25">
      <c r="F20" s="69" t="s">
        <v>60</v>
      </c>
      <c r="G20" s="69" t="s">
        <v>116</v>
      </c>
      <c r="H20" s="73">
        <f t="shared" si="1"/>
        <v>192585</v>
      </c>
    </row>
    <row r="21" spans="1:11" ht="51" x14ac:dyDescent="0.25">
      <c r="F21" s="69" t="s">
        <v>70</v>
      </c>
      <c r="G21" s="69" t="s">
        <v>117</v>
      </c>
      <c r="H21" s="70">
        <f t="shared" si="1"/>
        <v>2</v>
      </c>
    </row>
    <row r="23" spans="1:11" ht="21" x14ac:dyDescent="0.35">
      <c r="A23" s="201" t="s">
        <v>121</v>
      </c>
      <c r="B23" s="201"/>
      <c r="C23" s="201"/>
      <c r="D23" s="201"/>
      <c r="E23" s="201"/>
      <c r="F23" s="201"/>
      <c r="G23" s="201"/>
      <c r="H23" s="201"/>
      <c r="I23" s="201"/>
      <c r="J23" s="201"/>
    </row>
    <row r="24" spans="1:11" ht="21" x14ac:dyDescent="0.25">
      <c r="A24" s="100" t="s">
        <v>16</v>
      </c>
      <c r="B24" s="101"/>
      <c r="C24" s="101"/>
      <c r="D24" s="101"/>
      <c r="E24" s="101"/>
      <c r="F24" s="101"/>
      <c r="G24" s="101"/>
      <c r="H24" s="101"/>
      <c r="I24" s="101"/>
      <c r="J24" s="102"/>
    </row>
    <row r="25" spans="1:11" ht="15.75" x14ac:dyDescent="0.25">
      <c r="A25" s="122" t="s">
        <v>17</v>
      </c>
      <c r="B25" s="123"/>
      <c r="C25" s="123"/>
      <c r="D25" s="123"/>
      <c r="E25" s="123"/>
      <c r="F25" s="123"/>
      <c r="G25" s="123"/>
      <c r="H25" s="123"/>
      <c r="I25" s="123"/>
      <c r="J25" s="124"/>
    </row>
    <row r="26" spans="1:11" ht="15.75" x14ac:dyDescent="0.25">
      <c r="A26" s="125" t="s">
        <v>18</v>
      </c>
      <c r="B26" s="126"/>
      <c r="C26" s="126" t="s">
        <v>19</v>
      </c>
      <c r="D26" s="126"/>
      <c r="E26" s="126"/>
      <c r="F26" s="126" t="s">
        <v>20</v>
      </c>
      <c r="G26" s="126"/>
      <c r="H26" s="126"/>
      <c r="I26" s="126" t="s">
        <v>21</v>
      </c>
      <c r="J26" s="127"/>
    </row>
    <row r="27" spans="1:11" ht="15.75" x14ac:dyDescent="0.25">
      <c r="A27" s="128">
        <v>3450000</v>
      </c>
      <c r="B27" s="129"/>
      <c r="C27" s="130">
        <v>2050000</v>
      </c>
      <c r="D27" s="131"/>
      <c r="E27" s="129"/>
      <c r="F27" s="130">
        <f>+F48</f>
        <v>149390</v>
      </c>
      <c r="G27" s="131"/>
      <c r="H27" s="129"/>
      <c r="I27" s="132">
        <f>+F27/C27</f>
        <v>7.2873170731707321E-2</v>
      </c>
      <c r="J27" s="133"/>
    </row>
    <row r="28" spans="1:11" ht="16.5" thickBot="1" x14ac:dyDescent="0.3">
      <c r="A28" s="112" t="s">
        <v>125</v>
      </c>
      <c r="B28" s="113"/>
      <c r="C28" s="113"/>
      <c r="D28" s="113"/>
      <c r="E28" s="113"/>
      <c r="F28" s="113"/>
      <c r="G28" s="113"/>
      <c r="H28" s="113"/>
      <c r="I28" s="113"/>
      <c r="J28" s="114"/>
    </row>
    <row r="29" spans="1:11" ht="16.5" thickBot="1" x14ac:dyDescent="0.3">
      <c r="A29" s="115"/>
      <c r="B29" s="116"/>
      <c r="C29" s="117" t="s">
        <v>23</v>
      </c>
      <c r="D29" s="118"/>
      <c r="E29" s="119" t="s">
        <v>124</v>
      </c>
      <c r="F29" s="118"/>
      <c r="G29" s="119" t="s">
        <v>126</v>
      </c>
      <c r="H29" s="118"/>
      <c r="I29" s="120" t="s">
        <v>26</v>
      </c>
      <c r="J29" s="121"/>
    </row>
    <row r="30" spans="1:11" ht="47.25" x14ac:dyDescent="0.25">
      <c r="A30" s="9" t="s">
        <v>27</v>
      </c>
      <c r="B30" s="10" t="s">
        <v>28</v>
      </c>
      <c r="C30" s="10" t="s">
        <v>29</v>
      </c>
      <c r="D30" s="10" t="s">
        <v>30</v>
      </c>
      <c r="E30" s="10" t="s">
        <v>31</v>
      </c>
      <c r="F30" s="10" t="s">
        <v>32</v>
      </c>
      <c r="G30" s="10" t="s">
        <v>33</v>
      </c>
      <c r="H30" s="10" t="s">
        <v>34</v>
      </c>
      <c r="I30" s="10" t="s">
        <v>35</v>
      </c>
      <c r="J30" s="11" t="s">
        <v>36</v>
      </c>
    </row>
    <row r="31" spans="1:11" ht="63" x14ac:dyDescent="0.25">
      <c r="A31" s="12" t="s">
        <v>37</v>
      </c>
      <c r="B31" s="13" t="s">
        <v>38</v>
      </c>
      <c r="C31" s="14">
        <v>100000</v>
      </c>
      <c r="D31" s="74">
        <v>2050000</v>
      </c>
      <c r="E31" s="14">
        <f>+H17</f>
        <v>30998</v>
      </c>
      <c r="F31" s="14" cm="1">
        <f t="array" ref="F31">+Tabla1724719[Financiera (D)]+Tabla17241218[Financiera (D)]</f>
        <v>1908333.34</v>
      </c>
      <c r="G31" s="14" cm="1">
        <f t="array" ref="G31">+Tabla1724719[Física (E)]+Tabla17241218[Física (E)]</f>
        <v>141841</v>
      </c>
      <c r="H31" s="74" cm="1">
        <f t="array" ref="H31">+Tabla1724719[Financiera  (F)]+Tabla17241218[Financiera  (F)]</f>
        <v>0</v>
      </c>
      <c r="I31" s="16">
        <f>+Tabla1724121820[[#This Row],[Física (E)]]/Tabla1724121820[[#This Row],[Física (C)]]</f>
        <v>4.5758113426672686</v>
      </c>
      <c r="J31" s="17">
        <f>+Tabla1724121820[[#This Row],[Financiera  (F)]]/Tabla1724121820[[#This Row],[Financiera (D)]]</f>
        <v>0</v>
      </c>
    </row>
    <row r="34" spans="1:16" x14ac:dyDescent="0.25">
      <c r="A34" s="75" t="s">
        <v>119</v>
      </c>
    </row>
    <row r="35" spans="1:16" s="1" customFormat="1" ht="30.75" customHeight="1" x14ac:dyDescent="0.25">
      <c r="A35" s="100" t="s">
        <v>16</v>
      </c>
      <c r="B35" s="101"/>
      <c r="C35" s="101"/>
      <c r="D35" s="101"/>
      <c r="E35" s="101"/>
      <c r="F35" s="101"/>
      <c r="G35" s="101"/>
      <c r="H35" s="101"/>
      <c r="I35" s="101"/>
      <c r="J35" s="102"/>
      <c r="K35" s="5"/>
      <c r="P35" s="65"/>
    </row>
    <row r="36" spans="1:16" s="1" customFormat="1" ht="15.75" x14ac:dyDescent="0.25">
      <c r="A36" s="122" t="s">
        <v>17</v>
      </c>
      <c r="B36" s="123"/>
      <c r="C36" s="123"/>
      <c r="D36" s="123"/>
      <c r="E36" s="123"/>
      <c r="F36" s="123"/>
      <c r="G36" s="123"/>
      <c r="H36" s="123"/>
      <c r="I36" s="123"/>
      <c r="J36" s="124"/>
      <c r="K36" s="48"/>
      <c r="P36" s="65"/>
    </row>
    <row r="37" spans="1:16" s="1" customFormat="1" ht="15" customHeight="1" x14ac:dyDescent="0.25">
      <c r="A37" s="125" t="s">
        <v>18</v>
      </c>
      <c r="B37" s="126"/>
      <c r="C37" s="126" t="s">
        <v>19</v>
      </c>
      <c r="D37" s="126"/>
      <c r="E37" s="126"/>
      <c r="F37" s="126" t="s">
        <v>20</v>
      </c>
      <c r="G37" s="126"/>
      <c r="H37" s="126"/>
      <c r="I37" s="126" t="s">
        <v>21</v>
      </c>
      <c r="J37" s="127"/>
      <c r="K37" s="5"/>
      <c r="P37" s="65"/>
    </row>
    <row r="38" spans="1:16" s="8" customFormat="1" ht="15.75" x14ac:dyDescent="0.25">
      <c r="A38" s="128">
        <v>3450000</v>
      </c>
      <c r="B38" s="129"/>
      <c r="C38" s="130">
        <v>2050000</v>
      </c>
      <c r="D38" s="131"/>
      <c r="E38" s="129"/>
      <c r="F38" s="130">
        <v>149390</v>
      </c>
      <c r="G38" s="131"/>
      <c r="H38" s="129"/>
      <c r="I38" s="132">
        <f>+F38/C38</f>
        <v>7.2873170731707321E-2</v>
      </c>
      <c r="J38" s="133"/>
      <c r="K38" s="49"/>
      <c r="P38" s="66"/>
    </row>
    <row r="39" spans="1:16" s="1" customFormat="1" ht="16.5" thickBot="1" x14ac:dyDescent="0.3">
      <c r="A39" s="112" t="s">
        <v>125</v>
      </c>
      <c r="B39" s="113"/>
      <c r="C39" s="113"/>
      <c r="D39" s="113"/>
      <c r="E39" s="113"/>
      <c r="F39" s="113"/>
      <c r="G39" s="113"/>
      <c r="H39" s="113"/>
      <c r="I39" s="113"/>
      <c r="J39" s="114"/>
      <c r="K39" s="48"/>
      <c r="P39" s="65"/>
    </row>
    <row r="40" spans="1:16" s="1" customFormat="1" ht="15.75" customHeight="1" thickBot="1" x14ac:dyDescent="0.3">
      <c r="A40" s="115"/>
      <c r="B40" s="116"/>
      <c r="C40" s="117" t="s">
        <v>23</v>
      </c>
      <c r="D40" s="118"/>
      <c r="E40" s="119" t="s">
        <v>124</v>
      </c>
      <c r="F40" s="118"/>
      <c r="G40" s="119" t="s">
        <v>126</v>
      </c>
      <c r="H40" s="118"/>
      <c r="I40" s="120" t="s">
        <v>26</v>
      </c>
      <c r="J40" s="121"/>
      <c r="K40" s="5"/>
      <c r="P40" s="65"/>
    </row>
    <row r="41" spans="1:16" s="1" customFormat="1" ht="47.25" x14ac:dyDescent="0.25">
      <c r="A41" s="9" t="s">
        <v>27</v>
      </c>
      <c r="B41" s="10" t="s">
        <v>28</v>
      </c>
      <c r="C41" s="10" t="s">
        <v>29</v>
      </c>
      <c r="D41" s="10" t="s">
        <v>30</v>
      </c>
      <c r="E41" s="10" t="s">
        <v>31</v>
      </c>
      <c r="F41" s="10" t="s">
        <v>32</v>
      </c>
      <c r="G41" s="10" t="s">
        <v>33</v>
      </c>
      <c r="H41" s="10" t="s">
        <v>34</v>
      </c>
      <c r="I41" s="10" t="s">
        <v>35</v>
      </c>
      <c r="J41" s="11" t="s">
        <v>36</v>
      </c>
      <c r="K41" s="5"/>
      <c r="P41" s="65"/>
    </row>
    <row r="42" spans="1:16" s="18" customFormat="1" ht="69" customHeight="1" x14ac:dyDescent="0.25">
      <c r="A42" s="12" t="s">
        <v>37</v>
      </c>
      <c r="B42" s="13" t="s">
        <v>38</v>
      </c>
      <c r="C42" s="14">
        <v>100000</v>
      </c>
      <c r="D42" s="14">
        <v>2050000</v>
      </c>
      <c r="E42" s="14">
        <v>17664</v>
      </c>
      <c r="F42" s="14">
        <v>954166.67</v>
      </c>
      <c r="G42" s="14">
        <v>53614</v>
      </c>
      <c r="H42" s="15">
        <v>0</v>
      </c>
      <c r="I42" s="16">
        <f>+Tabla17241218[[#This Row],[Física (E)]]/Tabla17241218[[#This Row],[Física (C)]]</f>
        <v>3.0352128623188408</v>
      </c>
      <c r="J42" s="17">
        <f>+Tabla17241218[[#This Row],[Financiera  (F)]]/Tabla17241218[[#This Row],[Financiera (D)]]</f>
        <v>0</v>
      </c>
      <c r="K42" s="50"/>
      <c r="P42" s="67"/>
    </row>
    <row r="44" spans="1:16" x14ac:dyDescent="0.25">
      <c r="A44" s="75" t="s">
        <v>120</v>
      </c>
    </row>
    <row r="45" spans="1:16" s="1" customFormat="1" ht="30.75" customHeight="1" x14ac:dyDescent="0.25">
      <c r="A45" s="100" t="s">
        <v>16</v>
      </c>
      <c r="B45" s="101"/>
      <c r="C45" s="101"/>
      <c r="D45" s="101"/>
      <c r="E45" s="101"/>
      <c r="F45" s="101"/>
      <c r="G45" s="101"/>
      <c r="H45" s="101"/>
      <c r="I45" s="101"/>
      <c r="J45" s="102"/>
      <c r="P45" s="65"/>
    </row>
    <row r="46" spans="1:16" s="1" customFormat="1" ht="15.75" x14ac:dyDescent="0.25">
      <c r="A46" s="122" t="s">
        <v>17</v>
      </c>
      <c r="B46" s="123"/>
      <c r="C46" s="123"/>
      <c r="D46" s="123"/>
      <c r="E46" s="123"/>
      <c r="F46" s="123"/>
      <c r="G46" s="123"/>
      <c r="H46" s="123"/>
      <c r="I46" s="123"/>
      <c r="J46" s="124"/>
      <c r="P46" s="65"/>
    </row>
    <row r="47" spans="1:16" s="1" customFormat="1" ht="15" customHeight="1" x14ac:dyDescent="0.25">
      <c r="A47" s="125" t="s">
        <v>18</v>
      </c>
      <c r="B47" s="126"/>
      <c r="C47" s="126" t="s">
        <v>19</v>
      </c>
      <c r="D47" s="126"/>
      <c r="E47" s="126"/>
      <c r="F47" s="126" t="s">
        <v>20</v>
      </c>
      <c r="G47" s="126"/>
      <c r="H47" s="126"/>
      <c r="I47" s="126" t="s">
        <v>21</v>
      </c>
      <c r="J47" s="127"/>
      <c r="P47" s="65"/>
    </row>
    <row r="48" spans="1:16" s="8" customFormat="1" ht="15.75" x14ac:dyDescent="0.25">
      <c r="A48" s="128">
        <v>3450000</v>
      </c>
      <c r="B48" s="129"/>
      <c r="C48" s="130">
        <v>2050000</v>
      </c>
      <c r="D48" s="131"/>
      <c r="E48" s="129"/>
      <c r="F48" s="130">
        <v>149390</v>
      </c>
      <c r="G48" s="131"/>
      <c r="H48" s="129"/>
      <c r="I48" s="132">
        <f>+F48/C48</f>
        <v>7.2873170731707321E-2</v>
      </c>
      <c r="J48" s="133"/>
      <c r="P48" s="66"/>
    </row>
    <row r="49" spans="1:16" s="1" customFormat="1" ht="16.149999999999999" customHeight="1" thickBot="1" x14ac:dyDescent="0.3">
      <c r="A49" s="112" t="s">
        <v>125</v>
      </c>
      <c r="B49" s="113"/>
      <c r="C49" s="113"/>
      <c r="D49" s="113"/>
      <c r="E49" s="113"/>
      <c r="F49" s="113"/>
      <c r="G49" s="113"/>
      <c r="H49" s="113"/>
      <c r="I49" s="113"/>
      <c r="J49" s="114"/>
      <c r="P49" s="65"/>
    </row>
    <row r="50" spans="1:16" s="1" customFormat="1" ht="15.75" customHeight="1" thickBot="1" x14ac:dyDescent="0.3">
      <c r="A50" s="115"/>
      <c r="B50" s="116"/>
      <c r="C50" s="117" t="s">
        <v>23</v>
      </c>
      <c r="D50" s="118"/>
      <c r="E50" s="119" t="s">
        <v>124</v>
      </c>
      <c r="F50" s="118"/>
      <c r="G50" s="119" t="s">
        <v>126</v>
      </c>
      <c r="H50" s="118"/>
      <c r="I50" s="120" t="s">
        <v>26</v>
      </c>
      <c r="J50" s="121"/>
      <c r="P50" s="65"/>
    </row>
    <row r="51" spans="1:16" s="1" customFormat="1" ht="47.25" x14ac:dyDescent="0.25">
      <c r="A51" s="9" t="s">
        <v>27</v>
      </c>
      <c r="B51" s="10" t="s">
        <v>28</v>
      </c>
      <c r="C51" s="10" t="s">
        <v>29</v>
      </c>
      <c r="D51" s="10" t="s">
        <v>30</v>
      </c>
      <c r="E51" s="10" t="s">
        <v>31</v>
      </c>
      <c r="F51" s="10" t="s">
        <v>32</v>
      </c>
      <c r="G51" s="10" t="s">
        <v>33</v>
      </c>
      <c r="H51" s="10" t="s">
        <v>34</v>
      </c>
      <c r="I51" s="10" t="s">
        <v>35</v>
      </c>
      <c r="J51" s="11" t="s">
        <v>36</v>
      </c>
      <c r="P51" s="65"/>
    </row>
    <row r="52" spans="1:16" s="18" customFormat="1" ht="69" customHeight="1" x14ac:dyDescent="0.25">
      <c r="A52" s="12" t="s">
        <v>37</v>
      </c>
      <c r="B52" s="13" t="s">
        <v>38</v>
      </c>
      <c r="C52" s="14">
        <v>100</v>
      </c>
      <c r="D52" s="74" cm="1">
        <f t="array" ref="D52">+Tabla17682526[Financiera (B)]</f>
        <v>100000</v>
      </c>
      <c r="E52" s="14">
        <v>13334</v>
      </c>
      <c r="F52" s="14">
        <v>954166.67</v>
      </c>
      <c r="G52" s="14">
        <v>88227</v>
      </c>
      <c r="H52" s="15">
        <v>0</v>
      </c>
      <c r="I52" s="16">
        <f>+Tabla1724719[[#This Row],[Física (E)]]/Tabla1724719[[#This Row],[Física (C)]]</f>
        <v>6.6166941652917357</v>
      </c>
      <c r="J52" s="17">
        <f>+Tabla1724719[[#This Row],[Financiera  (F)]]/Tabla1724719[[#This Row],[Financiera (D)]]</f>
        <v>0</v>
      </c>
      <c r="P52" s="67"/>
    </row>
    <row r="54" spans="1:16" s="76" customFormat="1" x14ac:dyDescent="0.25">
      <c r="P54" s="77"/>
    </row>
    <row r="56" spans="1:16" ht="21" x14ac:dyDescent="0.35">
      <c r="A56" s="201" t="s">
        <v>121</v>
      </c>
      <c r="B56" s="201"/>
      <c r="C56" s="201"/>
      <c r="D56" s="201"/>
      <c r="E56" s="201"/>
      <c r="F56" s="201"/>
      <c r="G56" s="201"/>
      <c r="H56" s="201"/>
      <c r="I56" s="201"/>
      <c r="J56" s="201"/>
    </row>
    <row r="57" spans="1:16" ht="21" x14ac:dyDescent="0.25">
      <c r="A57" s="100" t="s">
        <v>44</v>
      </c>
      <c r="B57" s="101"/>
      <c r="C57" s="101"/>
      <c r="D57" s="101"/>
      <c r="E57" s="101"/>
      <c r="F57" s="101"/>
      <c r="G57" s="101"/>
      <c r="H57" s="101"/>
      <c r="I57" s="101"/>
      <c r="J57" s="102"/>
    </row>
    <row r="58" spans="1:16" ht="15.75" x14ac:dyDescent="0.25">
      <c r="A58" s="19" t="s">
        <v>45</v>
      </c>
      <c r="B58" s="98" t="s">
        <v>46</v>
      </c>
      <c r="C58" s="98"/>
      <c r="D58" s="98"/>
      <c r="E58" s="98"/>
      <c r="F58" s="98"/>
      <c r="G58" s="98"/>
      <c r="H58" s="98"/>
      <c r="I58" s="98"/>
      <c r="J58" s="99"/>
    </row>
    <row r="59" spans="1:16" ht="18.75" x14ac:dyDescent="0.25">
      <c r="A59" s="134" t="s">
        <v>47</v>
      </c>
      <c r="B59" s="135"/>
      <c r="C59" s="135"/>
      <c r="D59" s="135"/>
      <c r="E59" s="135"/>
      <c r="F59" s="135"/>
      <c r="G59" s="135"/>
      <c r="H59" s="135"/>
      <c r="I59" s="135"/>
      <c r="J59" s="136"/>
    </row>
    <row r="60" spans="1:16" ht="15.75" x14ac:dyDescent="0.25">
      <c r="A60" s="122" t="s">
        <v>17</v>
      </c>
      <c r="B60" s="123"/>
      <c r="C60" s="123"/>
      <c r="D60" s="123"/>
      <c r="E60" s="123"/>
      <c r="F60" s="123"/>
      <c r="G60" s="123"/>
      <c r="H60" s="123"/>
      <c r="I60" s="123"/>
      <c r="J60" s="124"/>
    </row>
    <row r="61" spans="1:16" ht="15.75" x14ac:dyDescent="0.25">
      <c r="A61" s="125" t="s">
        <v>18</v>
      </c>
      <c r="B61" s="126"/>
      <c r="C61" s="126" t="s">
        <v>19</v>
      </c>
      <c r="D61" s="126"/>
      <c r="E61" s="126"/>
      <c r="F61" s="126" t="s">
        <v>20</v>
      </c>
      <c r="G61" s="126"/>
      <c r="H61" s="126"/>
      <c r="I61" s="126" t="s">
        <v>21</v>
      </c>
      <c r="J61" s="127"/>
    </row>
    <row r="62" spans="1:16" ht="15.75" x14ac:dyDescent="0.25">
      <c r="A62" s="144">
        <v>100000</v>
      </c>
      <c r="B62" s="145"/>
      <c r="C62" s="145">
        <v>100000</v>
      </c>
      <c r="D62" s="145"/>
      <c r="E62" s="145"/>
      <c r="F62" s="145">
        <f>+F87</f>
        <v>92062.5</v>
      </c>
      <c r="G62" s="145"/>
      <c r="H62" s="145"/>
      <c r="I62" s="146">
        <f>+F62/C62</f>
        <v>0.92062500000000003</v>
      </c>
      <c r="J62" s="147"/>
    </row>
    <row r="63" spans="1:16" ht="16.5" thickBot="1" x14ac:dyDescent="0.3">
      <c r="A63" s="112" t="s">
        <v>125</v>
      </c>
      <c r="B63" s="113"/>
      <c r="C63" s="113"/>
      <c r="D63" s="113"/>
      <c r="E63" s="113"/>
      <c r="F63" s="113"/>
      <c r="G63" s="113"/>
      <c r="H63" s="113"/>
      <c r="I63" s="113"/>
      <c r="J63" s="114"/>
    </row>
    <row r="64" spans="1:16" ht="15.75" x14ac:dyDescent="0.25">
      <c r="A64" s="148"/>
      <c r="B64" s="149"/>
      <c r="C64" s="150" t="s">
        <v>23</v>
      </c>
      <c r="D64" s="151"/>
      <c r="E64" s="152" t="s">
        <v>124</v>
      </c>
      <c r="F64" s="151"/>
      <c r="G64" s="152" t="s">
        <v>126</v>
      </c>
      <c r="H64" s="151"/>
      <c r="I64" s="153" t="s">
        <v>26</v>
      </c>
      <c r="J64" s="154"/>
    </row>
    <row r="65" spans="1:16" ht="47.25" x14ac:dyDescent="0.25">
      <c r="A65" s="9" t="s">
        <v>27</v>
      </c>
      <c r="B65" s="10" t="s">
        <v>28</v>
      </c>
      <c r="C65" s="21" t="s">
        <v>29</v>
      </c>
      <c r="D65" s="22" t="s">
        <v>30</v>
      </c>
      <c r="E65" s="22" t="s">
        <v>31</v>
      </c>
      <c r="F65" s="22" t="s">
        <v>32</v>
      </c>
      <c r="G65" s="22" t="s">
        <v>33</v>
      </c>
      <c r="H65" s="22" t="s">
        <v>48</v>
      </c>
      <c r="I65" s="10" t="s">
        <v>35</v>
      </c>
      <c r="J65" s="11" t="s">
        <v>36</v>
      </c>
    </row>
    <row r="66" spans="1:16" ht="78.75" x14ac:dyDescent="0.25">
      <c r="A66" s="12" t="s">
        <v>49</v>
      </c>
      <c r="B66" s="23" t="s">
        <v>50</v>
      </c>
      <c r="C66" s="14" cm="1">
        <f t="array" ref="C66">+Tabla1724719[Física (A)]</f>
        <v>100</v>
      </c>
      <c r="D66" s="15">
        <v>100000</v>
      </c>
      <c r="E66" s="14">
        <v>30</v>
      </c>
      <c r="F66" s="14" cm="1">
        <f t="array" ref="F66">+Tabla1761341[Financiera (D)]+Tabla176842[Financiera (D)]</f>
        <v>50000</v>
      </c>
      <c r="G66" s="14" cm="1">
        <f t="array" ref="G66">+Tabla1761341[Física (E)]+Tabla176842[Física (E)]</f>
        <v>124</v>
      </c>
      <c r="H66" s="15">
        <v>6756.75</v>
      </c>
      <c r="I66" s="25">
        <f>+Tabla17682526[[#This Row],[Física (E)]]/Tabla17682526[[#This Row],[Física (C)]]</f>
        <v>4.1333333333333337</v>
      </c>
      <c r="J66" s="26">
        <f>+Tabla17682526[[#This Row],[Financiera (F)]]/Tabla17682526[[#This Row],[Financiera (D)]]</f>
        <v>0.13513500000000001</v>
      </c>
    </row>
    <row r="68" spans="1:16" x14ac:dyDescent="0.25">
      <c r="A68" t="s">
        <v>122</v>
      </c>
    </row>
    <row r="69" spans="1:16" s="5" customFormat="1" ht="34.5" customHeight="1" x14ac:dyDescent="0.25">
      <c r="A69" s="100" t="s">
        <v>44</v>
      </c>
      <c r="B69" s="101"/>
      <c r="C69" s="101"/>
      <c r="D69" s="101"/>
      <c r="E69" s="101"/>
      <c r="F69" s="101"/>
      <c r="G69" s="101"/>
      <c r="H69" s="101"/>
      <c r="I69" s="101"/>
      <c r="J69" s="102"/>
      <c r="L69" s="1"/>
      <c r="P69" s="68"/>
    </row>
    <row r="70" spans="1:16" s="1" customFormat="1" ht="33" customHeight="1" x14ac:dyDescent="0.25">
      <c r="A70" s="19" t="s">
        <v>45</v>
      </c>
      <c r="B70" s="98" t="s">
        <v>46</v>
      </c>
      <c r="C70" s="98"/>
      <c r="D70" s="98"/>
      <c r="E70" s="98"/>
      <c r="F70" s="98"/>
      <c r="G70" s="98"/>
      <c r="H70" s="98"/>
      <c r="I70" s="98"/>
      <c r="J70" s="99"/>
      <c r="K70" s="5"/>
      <c r="P70" s="65"/>
    </row>
    <row r="71" spans="1:16" s="1" customFormat="1" ht="18.75" x14ac:dyDescent="0.25">
      <c r="A71" s="134" t="s">
        <v>47</v>
      </c>
      <c r="B71" s="135"/>
      <c r="C71" s="135"/>
      <c r="D71" s="135"/>
      <c r="E71" s="135"/>
      <c r="F71" s="135"/>
      <c r="G71" s="135"/>
      <c r="H71" s="135"/>
      <c r="I71" s="135"/>
      <c r="J71" s="136"/>
      <c r="K71" s="5"/>
      <c r="P71" s="65"/>
    </row>
    <row r="72" spans="1:16" s="5" customFormat="1" ht="15.75" x14ac:dyDescent="0.25">
      <c r="A72" s="122" t="s">
        <v>17</v>
      </c>
      <c r="B72" s="123"/>
      <c r="C72" s="123"/>
      <c r="D72" s="123"/>
      <c r="E72" s="123"/>
      <c r="F72" s="123"/>
      <c r="G72" s="123"/>
      <c r="H72" s="123"/>
      <c r="I72" s="123"/>
      <c r="J72" s="124"/>
      <c r="L72" s="1"/>
      <c r="P72" s="68"/>
    </row>
    <row r="73" spans="1:16" s="5" customFormat="1" ht="15.6" customHeight="1" x14ac:dyDescent="0.25">
      <c r="A73" s="125" t="s">
        <v>18</v>
      </c>
      <c r="B73" s="126"/>
      <c r="C73" s="126" t="s">
        <v>19</v>
      </c>
      <c r="D73" s="126"/>
      <c r="E73" s="126"/>
      <c r="F73" s="126" t="s">
        <v>20</v>
      </c>
      <c r="G73" s="126"/>
      <c r="H73" s="126"/>
      <c r="I73" s="126" t="s">
        <v>21</v>
      </c>
      <c r="J73" s="127"/>
      <c r="L73" s="1"/>
      <c r="P73" s="68"/>
    </row>
    <row r="74" spans="1:16" s="5" customFormat="1" ht="15.75" x14ac:dyDescent="0.25">
      <c r="A74" s="144">
        <v>100000</v>
      </c>
      <c r="B74" s="145"/>
      <c r="C74" s="145">
        <v>100000</v>
      </c>
      <c r="D74" s="145"/>
      <c r="E74" s="145"/>
      <c r="F74" s="145">
        <v>92062.5</v>
      </c>
      <c r="G74" s="145"/>
      <c r="H74" s="145"/>
      <c r="I74" s="146">
        <f>+F74/C74</f>
        <v>0.92062500000000003</v>
      </c>
      <c r="J74" s="147"/>
      <c r="L74" s="1"/>
      <c r="P74" s="68"/>
    </row>
    <row r="75" spans="1:16" s="5" customFormat="1" ht="16.5" thickBot="1" x14ac:dyDescent="0.3">
      <c r="A75" s="112" t="s">
        <v>22</v>
      </c>
      <c r="B75" s="113"/>
      <c r="C75" s="113"/>
      <c r="D75" s="113"/>
      <c r="E75" s="113"/>
      <c r="F75" s="113"/>
      <c r="G75" s="113"/>
      <c r="H75" s="113"/>
      <c r="I75" s="113"/>
      <c r="J75" s="114"/>
      <c r="L75" s="1"/>
      <c r="P75" s="68"/>
    </row>
    <row r="76" spans="1:16" s="5" customFormat="1" ht="15.6" customHeight="1" x14ac:dyDescent="0.25">
      <c r="A76" s="148"/>
      <c r="B76" s="149"/>
      <c r="C76" s="150" t="s">
        <v>23</v>
      </c>
      <c r="D76" s="151"/>
      <c r="E76" s="152" t="s">
        <v>24</v>
      </c>
      <c r="F76" s="151"/>
      <c r="G76" s="152" t="s">
        <v>25</v>
      </c>
      <c r="H76" s="151"/>
      <c r="I76" s="153" t="s">
        <v>26</v>
      </c>
      <c r="J76" s="154"/>
      <c r="L76" s="1"/>
      <c r="P76" s="68"/>
    </row>
    <row r="77" spans="1:16" s="5" customFormat="1" ht="47.25" x14ac:dyDescent="0.25">
      <c r="A77" s="9" t="s">
        <v>27</v>
      </c>
      <c r="B77" s="10" t="s">
        <v>28</v>
      </c>
      <c r="C77" s="21" t="s">
        <v>29</v>
      </c>
      <c r="D77" s="22" t="s">
        <v>30</v>
      </c>
      <c r="E77" s="22" t="s">
        <v>31</v>
      </c>
      <c r="F77" s="22" t="s">
        <v>32</v>
      </c>
      <c r="G77" s="22" t="s">
        <v>33</v>
      </c>
      <c r="H77" s="22" t="s">
        <v>48</v>
      </c>
      <c r="I77" s="10" t="s">
        <v>35</v>
      </c>
      <c r="J77" s="11" t="s">
        <v>36</v>
      </c>
      <c r="L77" s="1"/>
      <c r="P77" s="68"/>
    </row>
    <row r="78" spans="1:16" s="5" customFormat="1" ht="78" customHeight="1" x14ac:dyDescent="0.25">
      <c r="A78" s="12" t="s">
        <v>49</v>
      </c>
      <c r="B78" s="23" t="s">
        <v>50</v>
      </c>
      <c r="C78" s="14">
        <v>50</v>
      </c>
      <c r="D78" s="14">
        <v>100000</v>
      </c>
      <c r="E78" s="14">
        <v>10</v>
      </c>
      <c r="F78" s="15">
        <v>25000</v>
      </c>
      <c r="G78" s="24">
        <v>72</v>
      </c>
      <c r="H78" s="15">
        <v>8335</v>
      </c>
      <c r="I78" s="25">
        <f>+Tabla1761341[[#This Row],[Física (E)]]/Tabla1761341[[#This Row],[Física (C)]]</f>
        <v>7.2</v>
      </c>
      <c r="J78" s="26">
        <f>+Tabla1761341[[#This Row],[Financiera (F)]]/Tabla1761341[[#This Row],[Financiera (D)]]</f>
        <v>0.33339999999999997</v>
      </c>
      <c r="P78" s="68"/>
    </row>
    <row r="81" spans="1:16" x14ac:dyDescent="0.25">
      <c r="A81" t="s">
        <v>123</v>
      </c>
    </row>
    <row r="82" spans="1:16" s="5" customFormat="1" ht="34.5" customHeight="1" x14ac:dyDescent="0.25">
      <c r="A82" s="100" t="s">
        <v>44</v>
      </c>
      <c r="B82" s="101"/>
      <c r="C82" s="101"/>
      <c r="D82" s="101"/>
      <c r="E82" s="101"/>
      <c r="F82" s="101"/>
      <c r="G82" s="101"/>
      <c r="H82" s="101"/>
      <c r="I82" s="101"/>
      <c r="J82" s="102"/>
      <c r="K82" s="1"/>
      <c r="P82" s="68"/>
    </row>
    <row r="83" spans="1:16" s="1" customFormat="1" ht="33" customHeight="1" x14ac:dyDescent="0.25">
      <c r="A83" s="19" t="s">
        <v>45</v>
      </c>
      <c r="B83" s="98" t="s">
        <v>46</v>
      </c>
      <c r="C83" s="98"/>
      <c r="D83" s="98"/>
      <c r="E83" s="98"/>
      <c r="F83" s="98"/>
      <c r="G83" s="98"/>
      <c r="H83" s="98"/>
      <c r="I83" s="98"/>
      <c r="J83" s="99"/>
      <c r="P83" s="65"/>
    </row>
    <row r="84" spans="1:16" s="1" customFormat="1" ht="18.75" x14ac:dyDescent="0.25">
      <c r="A84" s="134" t="s">
        <v>47</v>
      </c>
      <c r="B84" s="135"/>
      <c r="C84" s="135"/>
      <c r="D84" s="135"/>
      <c r="E84" s="135"/>
      <c r="F84" s="135"/>
      <c r="G84" s="135"/>
      <c r="H84" s="135"/>
      <c r="I84" s="135"/>
      <c r="J84" s="136"/>
      <c r="P84" s="65"/>
    </row>
    <row r="85" spans="1:16" s="5" customFormat="1" ht="15.75" x14ac:dyDescent="0.25">
      <c r="A85" s="122" t="s">
        <v>17</v>
      </c>
      <c r="B85" s="123"/>
      <c r="C85" s="123"/>
      <c r="D85" s="123"/>
      <c r="E85" s="123"/>
      <c r="F85" s="123"/>
      <c r="G85" s="123"/>
      <c r="H85" s="123"/>
      <c r="I85" s="123"/>
      <c r="J85" s="124"/>
      <c r="K85" s="1"/>
      <c r="P85" s="68"/>
    </row>
    <row r="86" spans="1:16" s="5" customFormat="1" ht="15.6" customHeight="1" x14ac:dyDescent="0.25">
      <c r="A86" s="125" t="s">
        <v>18</v>
      </c>
      <c r="B86" s="126"/>
      <c r="C86" s="126" t="s">
        <v>19</v>
      </c>
      <c r="D86" s="126"/>
      <c r="E86" s="126"/>
      <c r="F86" s="126" t="s">
        <v>20</v>
      </c>
      <c r="G86" s="126"/>
      <c r="H86" s="126"/>
      <c r="I86" s="126" t="s">
        <v>21</v>
      </c>
      <c r="J86" s="127"/>
      <c r="K86" s="1"/>
      <c r="P86" s="68"/>
    </row>
    <row r="87" spans="1:16" s="5" customFormat="1" ht="15.75" x14ac:dyDescent="0.25">
      <c r="A87" s="144">
        <v>100000</v>
      </c>
      <c r="B87" s="145"/>
      <c r="C87" s="145">
        <v>100000</v>
      </c>
      <c r="D87" s="145"/>
      <c r="E87" s="145"/>
      <c r="F87" s="145">
        <v>92062.5</v>
      </c>
      <c r="G87" s="145"/>
      <c r="H87" s="145"/>
      <c r="I87" s="146">
        <f>+F87/C87</f>
        <v>0.92062500000000003</v>
      </c>
      <c r="J87" s="147"/>
      <c r="K87" s="1"/>
      <c r="P87" s="68"/>
    </row>
    <row r="88" spans="1:16" s="5" customFormat="1" ht="16.5" thickBot="1" x14ac:dyDescent="0.3">
      <c r="A88" s="112" t="s">
        <v>22</v>
      </c>
      <c r="B88" s="113"/>
      <c r="C88" s="113"/>
      <c r="D88" s="113"/>
      <c r="E88" s="113"/>
      <c r="F88" s="113"/>
      <c r="G88" s="113"/>
      <c r="H88" s="113"/>
      <c r="I88" s="113"/>
      <c r="J88" s="114"/>
      <c r="K88" s="1"/>
      <c r="P88" s="68"/>
    </row>
    <row r="89" spans="1:16" s="5" customFormat="1" ht="15.6" customHeight="1" x14ac:dyDescent="0.25">
      <c r="A89" s="148"/>
      <c r="B89" s="149"/>
      <c r="C89" s="150" t="s">
        <v>23</v>
      </c>
      <c r="D89" s="151"/>
      <c r="E89" s="152" t="s">
        <v>24</v>
      </c>
      <c r="F89" s="151"/>
      <c r="G89" s="152" t="s">
        <v>25</v>
      </c>
      <c r="H89" s="151"/>
      <c r="I89" s="153" t="s">
        <v>26</v>
      </c>
      <c r="J89" s="154"/>
      <c r="K89" s="1"/>
      <c r="P89" s="68"/>
    </row>
    <row r="90" spans="1:16" s="5" customFormat="1" ht="47.25" x14ac:dyDescent="0.25">
      <c r="A90" s="9" t="s">
        <v>27</v>
      </c>
      <c r="B90" s="10" t="s">
        <v>28</v>
      </c>
      <c r="C90" s="21" t="s">
        <v>29</v>
      </c>
      <c r="D90" s="22" t="s">
        <v>30</v>
      </c>
      <c r="E90" s="22" t="s">
        <v>31</v>
      </c>
      <c r="F90" s="22" t="s">
        <v>32</v>
      </c>
      <c r="G90" s="22" t="s">
        <v>33</v>
      </c>
      <c r="H90" s="22" t="s">
        <v>48</v>
      </c>
      <c r="I90" s="10" t="s">
        <v>35</v>
      </c>
      <c r="J90" s="11" t="s">
        <v>36</v>
      </c>
      <c r="K90" s="1"/>
      <c r="P90" s="68"/>
    </row>
    <row r="91" spans="1:16" s="1" customFormat="1" ht="78" customHeight="1" x14ac:dyDescent="0.25">
      <c r="A91" s="12" t="s">
        <v>49</v>
      </c>
      <c r="B91" s="23" t="s">
        <v>50</v>
      </c>
      <c r="C91" s="14">
        <v>50</v>
      </c>
      <c r="D91" s="14">
        <v>100000</v>
      </c>
      <c r="E91" s="14">
        <v>20</v>
      </c>
      <c r="F91" s="15">
        <v>25000</v>
      </c>
      <c r="G91" s="24">
        <v>52</v>
      </c>
      <c r="H91" s="15">
        <v>6756.75</v>
      </c>
      <c r="I91" s="25">
        <f>+Tabla176842[[#This Row],[Física (E)]]/Tabla176842[[#This Row],[Física (C)]]</f>
        <v>2.6</v>
      </c>
      <c r="J91" s="26">
        <f>+Tabla176842[[#This Row],[Financiera (F)]]/Tabla176842[[#This Row],[Financiera (D)]]</f>
        <v>0.27027000000000001</v>
      </c>
      <c r="P91" s="65"/>
    </row>
    <row r="93" spans="1:16" s="76" customFormat="1" x14ac:dyDescent="0.25">
      <c r="P93" s="77"/>
    </row>
    <row r="94" spans="1:16" ht="21" x14ac:dyDescent="0.35">
      <c r="A94" s="201" t="s">
        <v>121</v>
      </c>
      <c r="B94" s="201"/>
      <c r="C94" s="201"/>
      <c r="D94" s="201"/>
      <c r="E94" s="201"/>
      <c r="F94" s="201"/>
      <c r="G94" s="201"/>
      <c r="H94" s="201"/>
      <c r="I94" s="201"/>
      <c r="J94" s="201"/>
    </row>
    <row r="95" spans="1:16" s="1" customFormat="1" ht="27" customHeight="1" x14ac:dyDescent="0.25">
      <c r="A95" s="100" t="s">
        <v>58</v>
      </c>
      <c r="B95" s="101"/>
      <c r="C95" s="101"/>
      <c r="D95" s="101"/>
      <c r="E95" s="101"/>
      <c r="F95" s="101"/>
      <c r="G95" s="101"/>
      <c r="H95" s="101"/>
      <c r="I95" s="101"/>
      <c r="J95" s="102"/>
      <c r="P95" s="65"/>
    </row>
    <row r="96" spans="1:16" s="1" customFormat="1" ht="26.25" customHeight="1" x14ac:dyDescent="0.25">
      <c r="A96" s="19" t="s">
        <v>45</v>
      </c>
      <c r="B96" s="98" t="s">
        <v>59</v>
      </c>
      <c r="C96" s="98"/>
      <c r="D96" s="98"/>
      <c r="E96" s="98"/>
      <c r="F96" s="98"/>
      <c r="G96" s="98"/>
      <c r="H96" s="98"/>
      <c r="I96" s="98"/>
      <c r="J96" s="99"/>
      <c r="P96" s="65"/>
    </row>
    <row r="97" spans="1:16" s="1" customFormat="1" ht="18.75" x14ac:dyDescent="0.25">
      <c r="A97" s="134" t="s">
        <v>47</v>
      </c>
      <c r="B97" s="135"/>
      <c r="C97" s="135"/>
      <c r="D97" s="135"/>
      <c r="E97" s="135"/>
      <c r="F97" s="135"/>
      <c r="G97" s="135"/>
      <c r="H97" s="135"/>
      <c r="I97" s="135"/>
      <c r="J97" s="136"/>
      <c r="P97" s="65"/>
    </row>
    <row r="98" spans="1:16" s="1" customFormat="1" ht="15.75" x14ac:dyDescent="0.25">
      <c r="A98" s="122" t="s">
        <v>17</v>
      </c>
      <c r="B98" s="123"/>
      <c r="C98" s="123"/>
      <c r="D98" s="123"/>
      <c r="E98" s="123"/>
      <c r="F98" s="123"/>
      <c r="G98" s="123"/>
      <c r="H98" s="123"/>
      <c r="I98" s="123"/>
      <c r="J98" s="124"/>
      <c r="P98" s="65"/>
    </row>
    <row r="99" spans="1:16" s="1" customFormat="1" ht="15.75" x14ac:dyDescent="0.25">
      <c r="A99" s="125" t="s">
        <v>18</v>
      </c>
      <c r="B99" s="126"/>
      <c r="C99" s="126" t="s">
        <v>19</v>
      </c>
      <c r="D99" s="126"/>
      <c r="E99" s="126"/>
      <c r="F99" s="126" t="s">
        <v>20</v>
      </c>
      <c r="G99" s="126"/>
      <c r="H99" s="126"/>
      <c r="I99" s="126" t="s">
        <v>21</v>
      </c>
      <c r="J99" s="127"/>
      <c r="P99" s="65"/>
    </row>
    <row r="100" spans="1:16" s="1" customFormat="1" ht="15.75" x14ac:dyDescent="0.25">
      <c r="A100" s="173">
        <v>2051192175</v>
      </c>
      <c r="B100" s="174"/>
      <c r="C100" s="174">
        <v>2051192175</v>
      </c>
      <c r="D100" s="174"/>
      <c r="E100" s="174"/>
      <c r="F100" s="174">
        <f>+F124</f>
        <v>1600474205.0599999</v>
      </c>
      <c r="G100" s="174"/>
      <c r="H100" s="174"/>
      <c r="I100" s="175">
        <f>F100/C100</f>
        <v>0.78026536204975527</v>
      </c>
      <c r="J100" s="176"/>
      <c r="P100" s="65"/>
    </row>
    <row r="101" spans="1:16" s="1" customFormat="1" ht="16.5" thickBot="1" x14ac:dyDescent="0.3">
      <c r="A101" s="112" t="s">
        <v>125</v>
      </c>
      <c r="B101" s="113"/>
      <c r="C101" s="113"/>
      <c r="D101" s="113"/>
      <c r="E101" s="113"/>
      <c r="F101" s="113"/>
      <c r="G101" s="113"/>
      <c r="H101" s="113"/>
      <c r="I101" s="113"/>
      <c r="J101" s="114"/>
      <c r="P101" s="65"/>
    </row>
    <row r="102" spans="1:16" s="1" customFormat="1" ht="15.75" x14ac:dyDescent="0.25">
      <c r="A102" s="28"/>
      <c r="B102" s="29"/>
      <c r="C102" s="169" t="s">
        <v>23</v>
      </c>
      <c r="D102" s="170"/>
      <c r="E102" s="171" t="s">
        <v>124</v>
      </c>
      <c r="F102" s="170"/>
      <c r="G102" s="171" t="s">
        <v>126</v>
      </c>
      <c r="H102" s="170"/>
      <c r="I102" s="153" t="s">
        <v>26</v>
      </c>
      <c r="J102" s="172"/>
      <c r="P102" s="65"/>
    </row>
    <row r="103" spans="1:16" s="1" customFormat="1" ht="47.25" x14ac:dyDescent="0.25">
      <c r="A103" s="9" t="s">
        <v>27</v>
      </c>
      <c r="B103" s="10" t="s">
        <v>28</v>
      </c>
      <c r="C103" s="10" t="s">
        <v>29</v>
      </c>
      <c r="D103" s="10" t="s">
        <v>30</v>
      </c>
      <c r="E103" s="10" t="s">
        <v>31</v>
      </c>
      <c r="F103" s="10" t="s">
        <v>32</v>
      </c>
      <c r="G103" s="10" t="s">
        <v>33</v>
      </c>
      <c r="H103" s="10" t="s">
        <v>34</v>
      </c>
      <c r="I103" s="10" t="s">
        <v>35</v>
      </c>
      <c r="J103" s="11" t="s">
        <v>36</v>
      </c>
      <c r="P103" s="65"/>
    </row>
    <row r="104" spans="1:16" s="18" customFormat="1" ht="31.5" x14ac:dyDescent="0.25">
      <c r="A104" s="12" t="s">
        <v>60</v>
      </c>
      <c r="B104" s="63" t="s">
        <v>61</v>
      </c>
      <c r="C104" s="32">
        <v>450000</v>
      </c>
      <c r="D104" s="32">
        <f>+C100</f>
        <v>2051192175</v>
      </c>
      <c r="E104" s="32" cm="1">
        <f t="array" ref="E104">+Tabla13458929[Física (C)]+Tabla134581428[Física (C)]</f>
        <v>192585</v>
      </c>
      <c r="F104" s="32" cm="1">
        <f t="array" ref="F104">+Tabla13458929[Financiera (D)]+Tabla134581428[Financiera (D)]</f>
        <v>1026346087.5</v>
      </c>
      <c r="G104" s="32" cm="1">
        <f t="array" ref="G104">+Tabla13458929[Física (E)]+Tabla134581428[Física (E)]</f>
        <v>244181</v>
      </c>
      <c r="H104" s="32" cm="1">
        <f t="array" ref="H104">+Tabla13458929[Financiera  (F)]+Tabla134581428[Financiera  (F)]</f>
        <v>1087115059.6299999</v>
      </c>
      <c r="I104" s="16">
        <f>+Tabla1345892930[[#This Row],[Física (E)]]/Tabla1345892930[[#This Row],[Física (C)]]</f>
        <v>1.2679128696419764</v>
      </c>
      <c r="J104" s="26">
        <f>+Tabla1345892930[[#This Row],[Financiera  (F)]]/Tabla1345892930[[#This Row],[Financiera (D)]]</f>
        <v>1.0592090454380962</v>
      </c>
      <c r="P104" s="67"/>
    </row>
    <row r="105" spans="1:16" s="18" customFormat="1" ht="15.75" x14ac:dyDescent="0.25">
      <c r="A105" s="78"/>
      <c r="B105" s="79"/>
      <c r="C105" s="80"/>
      <c r="D105" s="80"/>
      <c r="E105" s="80"/>
      <c r="F105" s="80"/>
      <c r="G105" s="80"/>
      <c r="H105" s="80"/>
      <c r="I105" s="81"/>
      <c r="J105" s="82"/>
      <c r="P105" s="67"/>
    </row>
    <row r="106" spans="1:16" x14ac:dyDescent="0.25">
      <c r="A106" t="s">
        <v>122</v>
      </c>
    </row>
    <row r="107" spans="1:16" s="5" customFormat="1" ht="27" customHeight="1" x14ac:dyDescent="0.25">
      <c r="A107" s="100" t="s">
        <v>58</v>
      </c>
      <c r="B107" s="101"/>
      <c r="C107" s="101"/>
      <c r="D107" s="101"/>
      <c r="E107" s="101"/>
      <c r="F107" s="101"/>
      <c r="G107" s="101"/>
      <c r="H107" s="101"/>
      <c r="I107" s="101"/>
      <c r="J107" s="102"/>
      <c r="P107" s="68"/>
    </row>
    <row r="108" spans="1:16" s="5" customFormat="1" ht="26.25" customHeight="1" x14ac:dyDescent="0.25">
      <c r="A108" s="19" t="s">
        <v>45</v>
      </c>
      <c r="B108" s="98" t="s">
        <v>59</v>
      </c>
      <c r="C108" s="98"/>
      <c r="D108" s="98"/>
      <c r="E108" s="98"/>
      <c r="F108" s="98"/>
      <c r="G108" s="98"/>
      <c r="H108" s="98"/>
      <c r="I108" s="98"/>
      <c r="J108" s="99"/>
      <c r="P108" s="68"/>
    </row>
    <row r="109" spans="1:16" s="5" customFormat="1" ht="18.75" x14ac:dyDescent="0.25">
      <c r="A109" s="134" t="s">
        <v>47</v>
      </c>
      <c r="B109" s="135"/>
      <c r="C109" s="135"/>
      <c r="D109" s="135"/>
      <c r="E109" s="135"/>
      <c r="F109" s="135"/>
      <c r="G109" s="135"/>
      <c r="H109" s="135"/>
      <c r="I109" s="135"/>
      <c r="J109" s="136"/>
      <c r="P109" s="68"/>
    </row>
    <row r="110" spans="1:16" s="5" customFormat="1" ht="15.75" x14ac:dyDescent="0.25">
      <c r="A110" s="122" t="s">
        <v>17</v>
      </c>
      <c r="B110" s="123"/>
      <c r="C110" s="123"/>
      <c r="D110" s="123"/>
      <c r="E110" s="123"/>
      <c r="F110" s="123"/>
      <c r="G110" s="123"/>
      <c r="H110" s="123"/>
      <c r="I110" s="123"/>
      <c r="J110" s="124"/>
      <c r="P110" s="68"/>
    </row>
    <row r="111" spans="1:16" s="5" customFormat="1" ht="15.75" x14ac:dyDescent="0.25">
      <c r="A111" s="125" t="s">
        <v>18</v>
      </c>
      <c r="B111" s="126"/>
      <c r="C111" s="126" t="s">
        <v>19</v>
      </c>
      <c r="D111" s="126"/>
      <c r="E111" s="126"/>
      <c r="F111" s="126" t="s">
        <v>20</v>
      </c>
      <c r="G111" s="126"/>
      <c r="H111" s="126"/>
      <c r="I111" s="126" t="s">
        <v>21</v>
      </c>
      <c r="J111" s="127"/>
      <c r="P111" s="68"/>
    </row>
    <row r="112" spans="1:16" s="5" customFormat="1" ht="15.75" x14ac:dyDescent="0.25">
      <c r="A112" s="173">
        <v>2051192175</v>
      </c>
      <c r="B112" s="174"/>
      <c r="C112" s="174">
        <v>2051192175</v>
      </c>
      <c r="D112" s="174"/>
      <c r="E112" s="174"/>
      <c r="F112" s="174">
        <v>591673315.28999996</v>
      </c>
      <c r="G112" s="174"/>
      <c r="H112" s="174"/>
      <c r="I112" s="175">
        <f>F112/C112</f>
        <v>0.28845337969856477</v>
      </c>
      <c r="J112" s="176"/>
      <c r="P112" s="68"/>
    </row>
    <row r="113" spans="1:16" s="1" customFormat="1" ht="16.5" thickBot="1" x14ac:dyDescent="0.3">
      <c r="A113" s="112" t="s">
        <v>125</v>
      </c>
      <c r="B113" s="113"/>
      <c r="C113" s="113"/>
      <c r="D113" s="113"/>
      <c r="E113" s="113"/>
      <c r="F113" s="113"/>
      <c r="G113" s="113"/>
      <c r="H113" s="113"/>
      <c r="I113" s="113"/>
      <c r="J113" s="114"/>
      <c r="K113" s="5"/>
      <c r="P113" s="65"/>
    </row>
    <row r="114" spans="1:16" s="1" customFormat="1" ht="15.75" x14ac:dyDescent="0.25">
      <c r="A114" s="28"/>
      <c r="B114" s="29"/>
      <c r="C114" s="169" t="s">
        <v>23</v>
      </c>
      <c r="D114" s="170"/>
      <c r="E114" s="171" t="s">
        <v>124</v>
      </c>
      <c r="F114" s="170"/>
      <c r="G114" s="171" t="s">
        <v>126</v>
      </c>
      <c r="H114" s="170"/>
      <c r="I114" s="153" t="s">
        <v>26</v>
      </c>
      <c r="J114" s="172"/>
      <c r="K114" s="5"/>
      <c r="P114" s="65"/>
    </row>
    <row r="115" spans="1:16" s="1" customFormat="1" ht="47.25" x14ac:dyDescent="0.25">
      <c r="A115" s="9" t="s">
        <v>27</v>
      </c>
      <c r="B115" s="10" t="s">
        <v>28</v>
      </c>
      <c r="C115" s="10" t="s">
        <v>29</v>
      </c>
      <c r="D115" s="10" t="s">
        <v>30</v>
      </c>
      <c r="E115" s="10" t="s">
        <v>31</v>
      </c>
      <c r="F115" s="10" t="s">
        <v>32</v>
      </c>
      <c r="G115" s="10" t="s">
        <v>33</v>
      </c>
      <c r="H115" s="10" t="s">
        <v>34</v>
      </c>
      <c r="I115" s="10" t="s">
        <v>35</v>
      </c>
      <c r="J115" s="11" t="s">
        <v>36</v>
      </c>
      <c r="K115" s="5"/>
      <c r="P115" s="65"/>
    </row>
    <row r="116" spans="1:16" s="1" customFormat="1" ht="31.5" x14ac:dyDescent="0.25">
      <c r="A116" s="30" t="s">
        <v>60</v>
      </c>
      <c r="B116" s="31" t="s">
        <v>61</v>
      </c>
      <c r="C116" s="32">
        <v>450000</v>
      </c>
      <c r="D116" s="32">
        <f>+C112</f>
        <v>2051192175</v>
      </c>
      <c r="E116" s="32">
        <v>106932</v>
      </c>
      <c r="F116" s="15">
        <v>20000000</v>
      </c>
      <c r="G116" s="33">
        <v>122388</v>
      </c>
      <c r="H116" s="15">
        <v>78314169.859999999</v>
      </c>
      <c r="I116" s="16">
        <f>+Tabla134581428[[#This Row],[Física (E)]]/Tabla134581428[[#This Row],[Física (C)]]</f>
        <v>1.1445404556166536</v>
      </c>
      <c r="J116" s="26">
        <f>+Tabla134581428[[#This Row],[Financiera  (F)]]/Tabla134581428[[#This Row],[Financiera (D)]]</f>
        <v>3.9157084929999999</v>
      </c>
      <c r="K116" s="5"/>
      <c r="P116" s="65"/>
    </row>
    <row r="118" spans="1:16" x14ac:dyDescent="0.25">
      <c r="A118" t="s">
        <v>123</v>
      </c>
    </row>
    <row r="119" spans="1:16" s="1" customFormat="1" ht="27" customHeight="1" x14ac:dyDescent="0.25">
      <c r="A119" s="100" t="s">
        <v>58</v>
      </c>
      <c r="B119" s="101"/>
      <c r="C119" s="101"/>
      <c r="D119" s="101"/>
      <c r="E119" s="101"/>
      <c r="F119" s="101"/>
      <c r="G119" s="101"/>
      <c r="H119" s="101"/>
      <c r="I119" s="101"/>
      <c r="J119" s="102"/>
      <c r="P119" s="65"/>
    </row>
    <row r="120" spans="1:16" s="1" customFormat="1" ht="26.25" customHeight="1" x14ac:dyDescent="0.25">
      <c r="A120" s="19" t="s">
        <v>45</v>
      </c>
      <c r="B120" s="98" t="s">
        <v>59</v>
      </c>
      <c r="C120" s="98"/>
      <c r="D120" s="98"/>
      <c r="E120" s="98"/>
      <c r="F120" s="98"/>
      <c r="G120" s="98"/>
      <c r="H120" s="98"/>
      <c r="I120" s="98"/>
      <c r="J120" s="99"/>
      <c r="P120" s="65"/>
    </row>
    <row r="121" spans="1:16" s="1" customFormat="1" ht="18.75" x14ac:dyDescent="0.25">
      <c r="A121" s="134" t="s">
        <v>47</v>
      </c>
      <c r="B121" s="135"/>
      <c r="C121" s="135"/>
      <c r="D121" s="135"/>
      <c r="E121" s="135"/>
      <c r="F121" s="135"/>
      <c r="G121" s="135"/>
      <c r="H121" s="135"/>
      <c r="I121" s="135"/>
      <c r="J121" s="136"/>
      <c r="P121" s="65"/>
    </row>
    <row r="122" spans="1:16" s="1" customFormat="1" ht="15.75" x14ac:dyDescent="0.25">
      <c r="A122" s="122" t="s">
        <v>17</v>
      </c>
      <c r="B122" s="123"/>
      <c r="C122" s="123"/>
      <c r="D122" s="123"/>
      <c r="E122" s="123"/>
      <c r="F122" s="123"/>
      <c r="G122" s="123"/>
      <c r="H122" s="123"/>
      <c r="I122" s="123"/>
      <c r="J122" s="124"/>
      <c r="P122" s="65"/>
    </row>
    <row r="123" spans="1:16" s="1" customFormat="1" ht="15.75" x14ac:dyDescent="0.25">
      <c r="A123" s="125" t="s">
        <v>18</v>
      </c>
      <c r="B123" s="126"/>
      <c r="C123" s="126" t="s">
        <v>19</v>
      </c>
      <c r="D123" s="126"/>
      <c r="E123" s="126"/>
      <c r="F123" s="126" t="s">
        <v>20</v>
      </c>
      <c r="G123" s="126"/>
      <c r="H123" s="126"/>
      <c r="I123" s="126" t="s">
        <v>21</v>
      </c>
      <c r="J123" s="127"/>
      <c r="P123" s="65"/>
    </row>
    <row r="124" spans="1:16" s="1" customFormat="1" ht="15.75" x14ac:dyDescent="0.25">
      <c r="A124" s="173">
        <v>2051192175</v>
      </c>
      <c r="B124" s="174"/>
      <c r="C124" s="174">
        <v>2051192175</v>
      </c>
      <c r="D124" s="174"/>
      <c r="E124" s="174"/>
      <c r="F124" s="174">
        <v>1600474205.0599999</v>
      </c>
      <c r="G124" s="174"/>
      <c r="H124" s="174"/>
      <c r="I124" s="175">
        <f>F124/C124</f>
        <v>0.78026536204975527</v>
      </c>
      <c r="J124" s="176"/>
      <c r="P124" s="65"/>
    </row>
    <row r="125" spans="1:16" s="1" customFormat="1" ht="16.5" thickBot="1" x14ac:dyDescent="0.3">
      <c r="A125" s="112" t="s">
        <v>125</v>
      </c>
      <c r="B125" s="113"/>
      <c r="C125" s="113"/>
      <c r="D125" s="113"/>
      <c r="E125" s="113"/>
      <c r="F125" s="113"/>
      <c r="G125" s="113"/>
      <c r="H125" s="113"/>
      <c r="I125" s="113"/>
      <c r="J125" s="114"/>
      <c r="P125" s="65"/>
    </row>
    <row r="126" spans="1:16" s="1" customFormat="1" ht="15.75" x14ac:dyDescent="0.25">
      <c r="A126" s="28"/>
      <c r="B126" s="29"/>
      <c r="C126" s="169" t="s">
        <v>23</v>
      </c>
      <c r="D126" s="170"/>
      <c r="E126" s="171" t="s">
        <v>124</v>
      </c>
      <c r="F126" s="170"/>
      <c r="G126" s="171" t="s">
        <v>126</v>
      </c>
      <c r="H126" s="170"/>
      <c r="I126" s="153" t="s">
        <v>26</v>
      </c>
      <c r="J126" s="172"/>
      <c r="P126" s="65"/>
    </row>
    <row r="127" spans="1:16" s="1" customFormat="1" ht="47.25" x14ac:dyDescent="0.25">
      <c r="A127" s="9" t="s">
        <v>27</v>
      </c>
      <c r="B127" s="10" t="s">
        <v>28</v>
      </c>
      <c r="C127" s="10" t="s">
        <v>29</v>
      </c>
      <c r="D127" s="10" t="s">
        <v>30</v>
      </c>
      <c r="E127" s="10" t="s">
        <v>31</v>
      </c>
      <c r="F127" s="10" t="s">
        <v>32</v>
      </c>
      <c r="G127" s="10" t="s">
        <v>33</v>
      </c>
      <c r="H127" s="10" t="s">
        <v>34</v>
      </c>
      <c r="I127" s="10" t="s">
        <v>35</v>
      </c>
      <c r="J127" s="11" t="s">
        <v>36</v>
      </c>
      <c r="P127" s="65"/>
    </row>
    <row r="128" spans="1:16" s="1" customFormat="1" ht="31.5" x14ac:dyDescent="0.25">
      <c r="A128" s="30" t="s">
        <v>60</v>
      </c>
      <c r="B128" s="31" t="s">
        <v>61</v>
      </c>
      <c r="C128" s="32">
        <v>450000</v>
      </c>
      <c r="D128" s="32">
        <f>+C124</f>
        <v>2051192175</v>
      </c>
      <c r="E128" s="32">
        <v>85653</v>
      </c>
      <c r="F128" s="15">
        <v>1006346087.5</v>
      </c>
      <c r="G128" s="33">
        <v>121793</v>
      </c>
      <c r="H128" s="15">
        <v>1008800889.77</v>
      </c>
      <c r="I128" s="16">
        <f>+Tabla13458929[[#This Row],[Física (E)]]/Tabla13458929[[#This Row],[Física (C)]]</f>
        <v>1.4219350168703957</v>
      </c>
      <c r="J128" s="26">
        <f>+Tabla13458929[[#This Row],[Financiera  (F)]]/Tabla13458929[[#This Row],[Financiera (D)]]</f>
        <v>1.002439322118396</v>
      </c>
      <c r="P128" s="65"/>
    </row>
    <row r="129" spans="1:16" s="76" customFormat="1" x14ac:dyDescent="0.25">
      <c r="P129" s="77"/>
    </row>
    <row r="131" spans="1:16" ht="21" x14ac:dyDescent="0.35">
      <c r="A131" s="201" t="s">
        <v>121</v>
      </c>
      <c r="B131" s="201"/>
      <c r="C131" s="201"/>
      <c r="D131" s="201"/>
      <c r="E131" s="201"/>
      <c r="F131" s="201"/>
      <c r="G131" s="201"/>
      <c r="H131" s="201"/>
      <c r="I131" s="201"/>
      <c r="J131" s="201"/>
    </row>
    <row r="132" spans="1:16" ht="21" x14ac:dyDescent="0.25">
      <c r="A132" s="100" t="s">
        <v>63</v>
      </c>
      <c r="B132" s="101"/>
      <c r="C132" s="101"/>
      <c r="D132" s="101"/>
      <c r="E132" s="101"/>
      <c r="F132" s="101"/>
      <c r="G132" s="101"/>
      <c r="H132" s="101"/>
      <c r="I132" s="101"/>
      <c r="J132" s="102"/>
    </row>
    <row r="133" spans="1:16" ht="15.75" x14ac:dyDescent="0.25">
      <c r="A133" s="19" t="s">
        <v>45</v>
      </c>
      <c r="B133" s="98" t="s">
        <v>64</v>
      </c>
      <c r="C133" s="98"/>
      <c r="D133" s="98"/>
      <c r="E133" s="98"/>
      <c r="F133" s="98"/>
      <c r="G133" s="98"/>
      <c r="H133" s="98"/>
      <c r="I133" s="98"/>
      <c r="J133" s="99"/>
    </row>
    <row r="134" spans="1:16" ht="18.75" x14ac:dyDescent="0.25">
      <c r="A134" s="134" t="s">
        <v>47</v>
      </c>
      <c r="B134" s="135"/>
      <c r="C134" s="135"/>
      <c r="D134" s="135"/>
      <c r="E134" s="135"/>
      <c r="F134" s="135"/>
      <c r="G134" s="135"/>
      <c r="H134" s="135"/>
      <c r="I134" s="135"/>
      <c r="J134" s="136"/>
    </row>
    <row r="135" spans="1:16" ht="15.75" x14ac:dyDescent="0.25">
      <c r="A135" s="122" t="s">
        <v>17</v>
      </c>
      <c r="B135" s="123"/>
      <c r="C135" s="123"/>
      <c r="D135" s="123"/>
      <c r="E135" s="123"/>
      <c r="F135" s="123"/>
      <c r="G135" s="123"/>
      <c r="H135" s="123"/>
      <c r="I135" s="123"/>
      <c r="J135" s="124"/>
    </row>
    <row r="136" spans="1:16" ht="15.75" x14ac:dyDescent="0.25">
      <c r="A136" s="125" t="s">
        <v>18</v>
      </c>
      <c r="B136" s="126"/>
      <c r="C136" s="126" t="s">
        <v>19</v>
      </c>
      <c r="D136" s="126"/>
      <c r="E136" s="126"/>
      <c r="F136" s="126" t="s">
        <v>20</v>
      </c>
      <c r="G136" s="126"/>
      <c r="H136" s="126"/>
      <c r="I136" s="126" t="s">
        <v>21</v>
      </c>
      <c r="J136" s="127"/>
    </row>
    <row r="137" spans="1:16" ht="15.75" x14ac:dyDescent="0.25">
      <c r="A137" s="173">
        <v>700000</v>
      </c>
      <c r="B137" s="174"/>
      <c r="C137" s="174">
        <v>934000</v>
      </c>
      <c r="D137" s="174"/>
      <c r="E137" s="174"/>
      <c r="F137" s="174">
        <f>+F163</f>
        <v>869142.5</v>
      </c>
      <c r="G137" s="174"/>
      <c r="H137" s="174"/>
      <c r="I137" s="175">
        <f>F137/C137</f>
        <v>0.93055942184154172</v>
      </c>
      <c r="J137" s="176"/>
    </row>
    <row r="138" spans="1:16" ht="16.5" thickBot="1" x14ac:dyDescent="0.3">
      <c r="A138" s="112" t="s">
        <v>125</v>
      </c>
      <c r="B138" s="113"/>
      <c r="C138" s="113"/>
      <c r="D138" s="113"/>
      <c r="E138" s="113"/>
      <c r="F138" s="113"/>
      <c r="G138" s="113"/>
      <c r="H138" s="113"/>
      <c r="I138" s="113"/>
      <c r="J138" s="114"/>
    </row>
    <row r="139" spans="1:16" ht="15.75" x14ac:dyDescent="0.25">
      <c r="A139" s="177"/>
      <c r="B139" s="178"/>
      <c r="C139" s="169" t="s">
        <v>23</v>
      </c>
      <c r="D139" s="170"/>
      <c r="E139" s="171" t="s">
        <v>124</v>
      </c>
      <c r="F139" s="170"/>
      <c r="G139" s="171" t="s">
        <v>126</v>
      </c>
      <c r="H139" s="170"/>
      <c r="I139" s="153" t="s">
        <v>26</v>
      </c>
      <c r="J139" s="179"/>
    </row>
    <row r="140" spans="1:16" ht="47.25" x14ac:dyDescent="0.25">
      <c r="A140" s="9" t="s">
        <v>27</v>
      </c>
      <c r="B140" s="10" t="s">
        <v>28</v>
      </c>
      <c r="C140" s="10" t="s">
        <v>29</v>
      </c>
      <c r="D140" s="10" t="s">
        <v>30</v>
      </c>
      <c r="E140" s="10" t="s">
        <v>31</v>
      </c>
      <c r="F140" s="10" t="s">
        <v>32</v>
      </c>
      <c r="G140" s="10" t="s">
        <v>33</v>
      </c>
      <c r="H140" s="10" t="s">
        <v>34</v>
      </c>
      <c r="I140" s="10" t="s">
        <v>35</v>
      </c>
      <c r="J140" s="11" t="s">
        <v>36</v>
      </c>
    </row>
    <row r="141" spans="1:16" ht="47.25" x14ac:dyDescent="0.25">
      <c r="A141" s="12" t="s">
        <v>65</v>
      </c>
      <c r="B141" s="35" t="s">
        <v>66</v>
      </c>
      <c r="C141" s="32" cm="1">
        <f t="array" ref="C141">+Tabla1345910111213391032[Física (A)]</f>
        <v>120000</v>
      </c>
      <c r="D141" s="32" cm="1">
        <f t="array" ref="D141">+Tabla1345910111213391032[Financiera (B)]</f>
        <v>934000</v>
      </c>
      <c r="E141" s="32" cm="1">
        <f t="array" ref="E141">+Tabla1345910111213391032[Física (C)]+Tabla1345910111213391531[Física (C)]</f>
        <v>40226</v>
      </c>
      <c r="F141" s="32" cm="1">
        <f t="array" ref="F141">+Tabla1345910111213391032[Financiera (D)]+Tabla1345910111213391531[Financiera (D)]</f>
        <v>466666.66</v>
      </c>
      <c r="G141" s="32" cm="1">
        <f t="array" ref="G141">+Tabla1345910111213391032[Física (E)]+Tabla1345910111213391531[Física (E)]</f>
        <v>57092</v>
      </c>
      <c r="H141" s="32" cm="1">
        <f t="array" ref="H141">+Tabla1345910111213391032[Financiera  (F)]+Tabla1345910111213391531[Financiera  (F)]</f>
        <v>770710</v>
      </c>
      <c r="I141" s="16">
        <f>G141/E141</f>
        <v>1.4192810619997016</v>
      </c>
      <c r="J141" s="26">
        <f>+Tabla134591011121339103233[[#This Row],[Financiera  (F)]]/Tabla134591011121339103233[[#This Row],[Financiera (D)]]</f>
        <v>1.6515214521645922</v>
      </c>
    </row>
    <row r="144" spans="1:16" x14ac:dyDescent="0.25">
      <c r="A144" t="s">
        <v>122</v>
      </c>
    </row>
    <row r="145" spans="1:16" s="1" customFormat="1" ht="30" customHeight="1" x14ac:dyDescent="0.25">
      <c r="A145" s="100" t="s">
        <v>63</v>
      </c>
      <c r="B145" s="101"/>
      <c r="C145" s="101"/>
      <c r="D145" s="101"/>
      <c r="E145" s="101"/>
      <c r="F145" s="101"/>
      <c r="G145" s="101"/>
      <c r="H145" s="101"/>
      <c r="I145" s="101"/>
      <c r="J145" s="102"/>
      <c r="K145" s="5"/>
      <c r="P145" s="65"/>
    </row>
    <row r="146" spans="1:16" s="1" customFormat="1" ht="15.75" x14ac:dyDescent="0.25">
      <c r="A146" s="19" t="s">
        <v>45</v>
      </c>
      <c r="B146" s="98" t="s">
        <v>64</v>
      </c>
      <c r="C146" s="98"/>
      <c r="D146" s="98"/>
      <c r="E146" s="98"/>
      <c r="F146" s="98"/>
      <c r="G146" s="98"/>
      <c r="H146" s="98"/>
      <c r="I146" s="98"/>
      <c r="J146" s="99"/>
      <c r="K146" s="5"/>
      <c r="P146" s="65"/>
    </row>
    <row r="147" spans="1:16" s="1" customFormat="1" ht="18.75" x14ac:dyDescent="0.25">
      <c r="A147" s="134" t="s">
        <v>47</v>
      </c>
      <c r="B147" s="135"/>
      <c r="C147" s="135"/>
      <c r="D147" s="135"/>
      <c r="E147" s="135"/>
      <c r="F147" s="135"/>
      <c r="G147" s="135"/>
      <c r="H147" s="135"/>
      <c r="I147" s="135"/>
      <c r="J147" s="136"/>
      <c r="K147" s="5"/>
      <c r="P147" s="65"/>
    </row>
    <row r="148" spans="1:16" s="1" customFormat="1" ht="15.75" x14ac:dyDescent="0.25">
      <c r="A148" s="122" t="s">
        <v>17</v>
      </c>
      <c r="B148" s="123"/>
      <c r="C148" s="123"/>
      <c r="D148" s="123"/>
      <c r="E148" s="123"/>
      <c r="F148" s="123"/>
      <c r="G148" s="123"/>
      <c r="H148" s="123"/>
      <c r="I148" s="123"/>
      <c r="J148" s="124"/>
      <c r="K148" s="5"/>
      <c r="P148" s="65"/>
    </row>
    <row r="149" spans="1:16" s="1" customFormat="1" ht="15.75" x14ac:dyDescent="0.25">
      <c r="A149" s="125" t="s">
        <v>18</v>
      </c>
      <c r="B149" s="126"/>
      <c r="C149" s="126" t="s">
        <v>19</v>
      </c>
      <c r="D149" s="126"/>
      <c r="E149" s="126"/>
      <c r="F149" s="126" t="s">
        <v>20</v>
      </c>
      <c r="G149" s="126"/>
      <c r="H149" s="126"/>
      <c r="I149" s="126" t="s">
        <v>21</v>
      </c>
      <c r="J149" s="127"/>
      <c r="K149" s="5"/>
      <c r="P149" s="65"/>
    </row>
    <row r="150" spans="1:16" s="1" customFormat="1" ht="15.75" x14ac:dyDescent="0.25">
      <c r="A150" s="173">
        <v>700000</v>
      </c>
      <c r="B150" s="174"/>
      <c r="C150" s="174">
        <v>934000</v>
      </c>
      <c r="D150" s="174"/>
      <c r="E150" s="174"/>
      <c r="F150" s="174">
        <v>99782.5</v>
      </c>
      <c r="G150" s="174"/>
      <c r="H150" s="174"/>
      <c r="I150" s="175">
        <f>F150/C150</f>
        <v>0.10683351177730192</v>
      </c>
      <c r="J150" s="176"/>
      <c r="K150" s="5"/>
      <c r="P150" s="65"/>
    </row>
    <row r="151" spans="1:16" s="1" customFormat="1" ht="16.5" thickBot="1" x14ac:dyDescent="0.3">
      <c r="A151" s="112" t="s">
        <v>125</v>
      </c>
      <c r="B151" s="113"/>
      <c r="C151" s="113"/>
      <c r="D151" s="113"/>
      <c r="E151" s="113"/>
      <c r="F151" s="113"/>
      <c r="G151" s="113"/>
      <c r="H151" s="113"/>
      <c r="I151" s="113"/>
      <c r="J151" s="114"/>
      <c r="K151" s="5"/>
      <c r="P151" s="65"/>
    </row>
    <row r="152" spans="1:16" s="5" customFormat="1" ht="15.75" x14ac:dyDescent="0.25">
      <c r="A152" s="177"/>
      <c r="B152" s="178"/>
      <c r="C152" s="169" t="s">
        <v>23</v>
      </c>
      <c r="D152" s="170"/>
      <c r="E152" s="171" t="s">
        <v>124</v>
      </c>
      <c r="F152" s="170"/>
      <c r="G152" s="171" t="s">
        <v>126</v>
      </c>
      <c r="H152" s="170"/>
      <c r="I152" s="153" t="s">
        <v>26</v>
      </c>
      <c r="J152" s="179"/>
      <c r="P152" s="68"/>
    </row>
    <row r="153" spans="1:16" s="5" customFormat="1" ht="47.25" x14ac:dyDescent="0.25">
      <c r="A153" s="9" t="s">
        <v>27</v>
      </c>
      <c r="B153" s="10" t="s">
        <v>28</v>
      </c>
      <c r="C153" s="10" t="s">
        <v>29</v>
      </c>
      <c r="D153" s="10" t="s">
        <v>30</v>
      </c>
      <c r="E153" s="10" t="s">
        <v>31</v>
      </c>
      <c r="F153" s="10" t="s">
        <v>32</v>
      </c>
      <c r="G153" s="10" t="s">
        <v>33</v>
      </c>
      <c r="H153" s="10" t="s">
        <v>34</v>
      </c>
      <c r="I153" s="10" t="s">
        <v>35</v>
      </c>
      <c r="J153" s="11" t="s">
        <v>36</v>
      </c>
      <c r="P153" s="68"/>
    </row>
    <row r="154" spans="1:16" s="5" customFormat="1" ht="68.25" customHeight="1" x14ac:dyDescent="0.25">
      <c r="A154" s="12" t="s">
        <v>65</v>
      </c>
      <c r="B154" s="35" t="s">
        <v>66</v>
      </c>
      <c r="C154" s="32">
        <v>120000</v>
      </c>
      <c r="D154" s="15">
        <f>+C150</f>
        <v>934000</v>
      </c>
      <c r="E154" s="14">
        <v>29713</v>
      </c>
      <c r="F154" s="15">
        <v>233333.33</v>
      </c>
      <c r="G154" s="36">
        <v>39416</v>
      </c>
      <c r="H154" s="15">
        <v>1350</v>
      </c>
      <c r="I154" s="16">
        <f>G154/E154</f>
        <v>1.3265573991182311</v>
      </c>
      <c r="J154" s="26">
        <f>+Tabla1345910111213391531[[#This Row],[Financiera  (F)]]/Tabla1345910111213391531[[#This Row],[Financiera (D)]]</f>
        <v>5.7857143683673487E-3</v>
      </c>
      <c r="P154" s="68"/>
    </row>
    <row r="157" spans="1:16" x14ac:dyDescent="0.25">
      <c r="A157" t="s">
        <v>123</v>
      </c>
    </row>
    <row r="158" spans="1:16" s="1" customFormat="1" ht="30" customHeight="1" x14ac:dyDescent="0.25">
      <c r="A158" s="100" t="s">
        <v>63</v>
      </c>
      <c r="B158" s="101"/>
      <c r="C158" s="101"/>
      <c r="D158" s="101"/>
      <c r="E158" s="101"/>
      <c r="F158" s="101"/>
      <c r="G158" s="101"/>
      <c r="H158" s="101"/>
      <c r="I158" s="101"/>
      <c r="J158" s="102"/>
      <c r="P158" s="65"/>
    </row>
    <row r="159" spans="1:16" s="1" customFormat="1" ht="15.75" x14ac:dyDescent="0.25">
      <c r="A159" s="19" t="s">
        <v>45</v>
      </c>
      <c r="B159" s="98" t="s">
        <v>64</v>
      </c>
      <c r="C159" s="98"/>
      <c r="D159" s="98"/>
      <c r="E159" s="98"/>
      <c r="F159" s="98"/>
      <c r="G159" s="98"/>
      <c r="H159" s="98"/>
      <c r="I159" s="98"/>
      <c r="J159" s="99"/>
      <c r="P159" s="65"/>
    </row>
    <row r="160" spans="1:16" s="1" customFormat="1" ht="18.75" x14ac:dyDescent="0.25">
      <c r="A160" s="134" t="s">
        <v>47</v>
      </c>
      <c r="B160" s="135"/>
      <c r="C160" s="135"/>
      <c r="D160" s="135"/>
      <c r="E160" s="135"/>
      <c r="F160" s="135"/>
      <c r="G160" s="135"/>
      <c r="H160" s="135"/>
      <c r="I160" s="135"/>
      <c r="J160" s="136"/>
      <c r="P160" s="65"/>
    </row>
    <row r="161" spans="1:16" s="1" customFormat="1" ht="15.75" x14ac:dyDescent="0.25">
      <c r="A161" s="122" t="s">
        <v>17</v>
      </c>
      <c r="B161" s="123"/>
      <c r="C161" s="123"/>
      <c r="D161" s="123"/>
      <c r="E161" s="123"/>
      <c r="F161" s="123"/>
      <c r="G161" s="123"/>
      <c r="H161" s="123"/>
      <c r="I161" s="123"/>
      <c r="J161" s="124"/>
      <c r="P161" s="65"/>
    </row>
    <row r="162" spans="1:16" s="1" customFormat="1" ht="15.75" x14ac:dyDescent="0.25">
      <c r="A162" s="125" t="s">
        <v>18</v>
      </c>
      <c r="B162" s="126"/>
      <c r="C162" s="126" t="s">
        <v>19</v>
      </c>
      <c r="D162" s="126"/>
      <c r="E162" s="126"/>
      <c r="F162" s="126" t="s">
        <v>20</v>
      </c>
      <c r="G162" s="126"/>
      <c r="H162" s="126"/>
      <c r="I162" s="126" t="s">
        <v>21</v>
      </c>
      <c r="J162" s="127"/>
      <c r="P162" s="65"/>
    </row>
    <row r="163" spans="1:16" s="1" customFormat="1" ht="15.75" x14ac:dyDescent="0.25">
      <c r="A163" s="173">
        <v>700000</v>
      </c>
      <c r="B163" s="174"/>
      <c r="C163" s="174">
        <v>934000</v>
      </c>
      <c r="D163" s="174"/>
      <c r="E163" s="174"/>
      <c r="F163" s="174">
        <v>869142.5</v>
      </c>
      <c r="G163" s="174"/>
      <c r="H163" s="174"/>
      <c r="I163" s="175">
        <f>F163/C163</f>
        <v>0.93055942184154172</v>
      </c>
      <c r="J163" s="176"/>
      <c r="P163" s="65"/>
    </row>
    <row r="164" spans="1:16" s="1" customFormat="1" ht="16.5" thickBot="1" x14ac:dyDescent="0.3">
      <c r="A164" s="112" t="s">
        <v>125</v>
      </c>
      <c r="B164" s="113"/>
      <c r="C164" s="113"/>
      <c r="D164" s="113"/>
      <c r="E164" s="113"/>
      <c r="F164" s="113"/>
      <c r="G164" s="113"/>
      <c r="H164" s="113"/>
      <c r="I164" s="113"/>
      <c r="J164" s="114"/>
      <c r="P164" s="65"/>
    </row>
    <row r="165" spans="1:16" s="1" customFormat="1" ht="15.75" x14ac:dyDescent="0.25">
      <c r="A165" s="177"/>
      <c r="B165" s="178"/>
      <c r="C165" s="169" t="s">
        <v>23</v>
      </c>
      <c r="D165" s="170"/>
      <c r="E165" s="171" t="s">
        <v>124</v>
      </c>
      <c r="F165" s="170"/>
      <c r="G165" s="171" t="s">
        <v>126</v>
      </c>
      <c r="H165" s="170"/>
      <c r="I165" s="153" t="s">
        <v>26</v>
      </c>
      <c r="J165" s="179"/>
      <c r="P165" s="65"/>
    </row>
    <row r="166" spans="1:16" s="1" customFormat="1" ht="47.25" x14ac:dyDescent="0.25">
      <c r="A166" s="9" t="s">
        <v>27</v>
      </c>
      <c r="B166" s="10" t="s">
        <v>28</v>
      </c>
      <c r="C166" s="10" t="s">
        <v>29</v>
      </c>
      <c r="D166" s="10" t="s">
        <v>30</v>
      </c>
      <c r="E166" s="10" t="s">
        <v>31</v>
      </c>
      <c r="F166" s="10" t="s">
        <v>32</v>
      </c>
      <c r="G166" s="10" t="s">
        <v>33</v>
      </c>
      <c r="H166" s="10" t="s">
        <v>34</v>
      </c>
      <c r="I166" s="10" t="s">
        <v>35</v>
      </c>
      <c r="J166" s="11" t="s">
        <v>36</v>
      </c>
      <c r="P166" s="65"/>
    </row>
    <row r="167" spans="1:16" s="1" customFormat="1" ht="68.25" customHeight="1" x14ac:dyDescent="0.25">
      <c r="A167" s="12" t="s">
        <v>65</v>
      </c>
      <c r="B167" s="35" t="s">
        <v>66</v>
      </c>
      <c r="C167" s="32">
        <v>120000</v>
      </c>
      <c r="D167" s="15">
        <f>+C163</f>
        <v>934000</v>
      </c>
      <c r="E167" s="15">
        <v>10513</v>
      </c>
      <c r="F167" s="15">
        <v>233333.33</v>
      </c>
      <c r="G167" s="36">
        <v>17676</v>
      </c>
      <c r="H167" s="15">
        <v>769360</v>
      </c>
      <c r="I167" s="16">
        <f>G167/E167</f>
        <v>1.6813469038333493</v>
      </c>
      <c r="J167" s="26">
        <f>+Tabla1345910111213391032[[#This Row],[Financiera  (F)]]/Tabla1345910111213391032[[#This Row],[Financiera (D)]]</f>
        <v>3.297257189960817</v>
      </c>
      <c r="P167" s="65"/>
    </row>
    <row r="168" spans="1:16" s="76" customFormat="1" x14ac:dyDescent="0.25">
      <c r="P168" s="77"/>
    </row>
    <row r="170" spans="1:16" ht="21" x14ac:dyDescent="0.35">
      <c r="A170" s="201" t="s">
        <v>121</v>
      </c>
      <c r="B170" s="201"/>
      <c r="C170" s="201"/>
      <c r="D170" s="201"/>
      <c r="E170" s="201"/>
      <c r="F170" s="201"/>
      <c r="G170" s="201"/>
      <c r="H170" s="201"/>
      <c r="I170" s="201"/>
      <c r="J170" s="201"/>
    </row>
    <row r="171" spans="1:16" s="1" customFormat="1" ht="29.25" customHeight="1" x14ac:dyDescent="0.25">
      <c r="A171" s="100" t="s">
        <v>67</v>
      </c>
      <c r="B171" s="101"/>
      <c r="C171" s="101"/>
      <c r="D171" s="101"/>
      <c r="E171" s="101"/>
      <c r="F171" s="101"/>
      <c r="G171" s="101"/>
      <c r="H171" s="101"/>
      <c r="I171" s="101"/>
      <c r="J171" s="102"/>
      <c r="P171" s="65"/>
    </row>
    <row r="172" spans="1:16" s="1" customFormat="1" ht="51.75" customHeight="1" x14ac:dyDescent="0.25">
      <c r="A172" s="19" t="s">
        <v>45</v>
      </c>
      <c r="B172" s="167" t="s">
        <v>68</v>
      </c>
      <c r="C172" s="167"/>
      <c r="D172" s="167"/>
      <c r="E172" s="167"/>
      <c r="F172" s="167"/>
      <c r="G172" s="167"/>
      <c r="H172" s="167"/>
      <c r="I172" s="167"/>
      <c r="J172" s="168"/>
      <c r="P172" s="65"/>
    </row>
    <row r="173" spans="1:16" s="1" customFormat="1" ht="18.75" x14ac:dyDescent="0.25">
      <c r="A173" s="134" t="s">
        <v>47</v>
      </c>
      <c r="B173" s="135"/>
      <c r="C173" s="135"/>
      <c r="D173" s="135"/>
      <c r="E173" s="135"/>
      <c r="F173" s="135"/>
      <c r="G173" s="135"/>
      <c r="H173" s="135"/>
      <c r="I173" s="135"/>
      <c r="J173" s="136"/>
      <c r="P173" s="65"/>
    </row>
    <row r="174" spans="1:16" s="1" customFormat="1" ht="15.75" x14ac:dyDescent="0.25">
      <c r="A174" s="122" t="s">
        <v>17</v>
      </c>
      <c r="B174" s="123"/>
      <c r="C174" s="123"/>
      <c r="D174" s="123"/>
      <c r="E174" s="123"/>
      <c r="F174" s="123"/>
      <c r="G174" s="123"/>
      <c r="H174" s="123"/>
      <c r="I174" s="123"/>
      <c r="J174" s="124"/>
      <c r="P174" s="65"/>
    </row>
    <row r="175" spans="1:16" s="1" customFormat="1" ht="15.75" x14ac:dyDescent="0.25">
      <c r="A175" s="125" t="s">
        <v>18</v>
      </c>
      <c r="B175" s="126"/>
      <c r="C175" s="126" t="s">
        <v>19</v>
      </c>
      <c r="D175" s="126"/>
      <c r="E175" s="126"/>
      <c r="F175" s="126" t="s">
        <v>20</v>
      </c>
      <c r="G175" s="126"/>
      <c r="H175" s="126"/>
      <c r="I175" s="126" t="s">
        <v>21</v>
      </c>
      <c r="J175" s="127"/>
      <c r="P175" s="65"/>
    </row>
    <row r="176" spans="1:16" s="1" customFormat="1" ht="15.75" x14ac:dyDescent="0.25">
      <c r="A176" s="173">
        <v>500000000</v>
      </c>
      <c r="B176" s="174"/>
      <c r="C176" s="174">
        <v>625000000</v>
      </c>
      <c r="D176" s="174"/>
      <c r="E176" s="174"/>
      <c r="F176" s="174">
        <f>+F201</f>
        <v>500000000</v>
      </c>
      <c r="G176" s="174"/>
      <c r="H176" s="174"/>
      <c r="I176" s="175">
        <f>F176/C176</f>
        <v>0.8</v>
      </c>
      <c r="J176" s="176"/>
      <c r="P176" s="65"/>
    </row>
    <row r="177" spans="1:16" s="1" customFormat="1" ht="16.5" thickBot="1" x14ac:dyDescent="0.3">
      <c r="A177" s="112" t="s">
        <v>127</v>
      </c>
      <c r="B177" s="113"/>
      <c r="C177" s="113"/>
      <c r="D177" s="113"/>
      <c r="E177" s="113"/>
      <c r="F177" s="113"/>
      <c r="G177" s="113"/>
      <c r="H177" s="113"/>
      <c r="I177" s="113"/>
      <c r="J177" s="114"/>
      <c r="P177" s="65"/>
    </row>
    <row r="178" spans="1:16" s="1" customFormat="1" ht="15.75" x14ac:dyDescent="0.25">
      <c r="A178" s="177"/>
      <c r="B178" s="178"/>
      <c r="C178" s="169" t="s">
        <v>23</v>
      </c>
      <c r="D178" s="170"/>
      <c r="E178" s="171" t="s">
        <v>124</v>
      </c>
      <c r="F178" s="170"/>
      <c r="G178" s="171" t="s">
        <v>126</v>
      </c>
      <c r="H178" s="170"/>
      <c r="I178" s="153" t="s">
        <v>26</v>
      </c>
      <c r="J178" s="179"/>
      <c r="P178" s="65"/>
    </row>
    <row r="179" spans="1:16" s="1" customFormat="1" ht="47.25" x14ac:dyDescent="0.25">
      <c r="A179" s="9" t="s">
        <v>27</v>
      </c>
      <c r="B179" s="10" t="s">
        <v>28</v>
      </c>
      <c r="C179" s="10" t="s">
        <v>29</v>
      </c>
      <c r="D179" s="10" t="s">
        <v>30</v>
      </c>
      <c r="E179" s="10" t="s">
        <v>31</v>
      </c>
      <c r="F179" s="10" t="s">
        <v>32</v>
      </c>
      <c r="G179" s="10" t="s">
        <v>33</v>
      </c>
      <c r="H179" s="10" t="s">
        <v>34</v>
      </c>
      <c r="I179" s="10" t="s">
        <v>35</v>
      </c>
      <c r="J179" s="11" t="s">
        <v>36</v>
      </c>
      <c r="P179" s="65"/>
    </row>
    <row r="180" spans="1:16" s="1" customFormat="1" ht="105" customHeight="1" x14ac:dyDescent="0.25">
      <c r="A180" s="12" t="s">
        <v>70</v>
      </c>
      <c r="B180" s="23" t="s">
        <v>71</v>
      </c>
      <c r="C180" s="37">
        <v>2</v>
      </c>
      <c r="D180" s="37" cm="1">
        <f t="array" ref="D180">+Tabla1345910111213101136[Financiera (B)]</f>
        <v>625000000</v>
      </c>
      <c r="E180" s="37">
        <v>2</v>
      </c>
      <c r="F180" s="14" cm="1">
        <f t="array" ref="F180">+Tabla1345910111213101136[Financiera (D)]+Tabla1345910111213101635[Financiera (D)]</f>
        <v>250000000</v>
      </c>
      <c r="G180" s="14" cm="1">
        <f t="array" ref="G180">+Tabla1345910111213101136[Física (E)]+Tabla1345910111213101635[Física (E)]</f>
        <v>1</v>
      </c>
      <c r="H180" s="14" cm="1">
        <f t="array" ref="H180">+Tabla1345910111213101136[Financiera  (F)]+Tabla1345910111213101635[Financiera  (F)]</f>
        <v>250000000</v>
      </c>
      <c r="I180" s="38" t="s">
        <v>72</v>
      </c>
      <c r="J180" s="26">
        <f>+Tabla134591011121310113637[[#This Row],[Financiera  (F)]]/Tabla134591011121310113637[[#This Row],[Financiera (D)]]</f>
        <v>1</v>
      </c>
      <c r="P180" s="65"/>
    </row>
    <row r="182" spans="1:16" x14ac:dyDescent="0.25">
      <c r="A182" t="s">
        <v>119</v>
      </c>
    </row>
    <row r="183" spans="1:16" s="5" customFormat="1" ht="29.25" customHeight="1" x14ac:dyDescent="0.25">
      <c r="A183" s="100" t="s">
        <v>67</v>
      </c>
      <c r="B183" s="101"/>
      <c r="C183" s="101"/>
      <c r="D183" s="101"/>
      <c r="E183" s="101"/>
      <c r="F183" s="101"/>
      <c r="G183" s="101"/>
      <c r="H183" s="101"/>
      <c r="I183" s="101"/>
      <c r="J183" s="102"/>
      <c r="P183" s="68"/>
    </row>
    <row r="184" spans="1:16" s="5" customFormat="1" ht="51.75" customHeight="1" x14ac:dyDescent="0.25">
      <c r="A184" s="19" t="s">
        <v>45</v>
      </c>
      <c r="B184" s="167" t="s">
        <v>68</v>
      </c>
      <c r="C184" s="167"/>
      <c r="D184" s="167"/>
      <c r="E184" s="167"/>
      <c r="F184" s="167"/>
      <c r="G184" s="167"/>
      <c r="H184" s="167"/>
      <c r="I184" s="167"/>
      <c r="J184" s="168"/>
      <c r="P184" s="68"/>
    </row>
    <row r="185" spans="1:16" s="5" customFormat="1" ht="18.75" x14ac:dyDescent="0.25">
      <c r="A185" s="134" t="s">
        <v>47</v>
      </c>
      <c r="B185" s="135"/>
      <c r="C185" s="135"/>
      <c r="D185" s="135"/>
      <c r="E185" s="135"/>
      <c r="F185" s="135"/>
      <c r="G185" s="135"/>
      <c r="H185" s="135"/>
      <c r="I185" s="135"/>
      <c r="J185" s="136"/>
      <c r="P185" s="68"/>
    </row>
    <row r="186" spans="1:16" s="5" customFormat="1" ht="15.75" x14ac:dyDescent="0.25">
      <c r="A186" s="122" t="s">
        <v>17</v>
      </c>
      <c r="B186" s="123"/>
      <c r="C186" s="123"/>
      <c r="D186" s="123"/>
      <c r="E186" s="123"/>
      <c r="F186" s="123"/>
      <c r="G186" s="123"/>
      <c r="H186" s="123"/>
      <c r="I186" s="123"/>
      <c r="J186" s="124"/>
      <c r="P186" s="68"/>
    </row>
    <row r="187" spans="1:16" s="5" customFormat="1" ht="15.75" x14ac:dyDescent="0.25">
      <c r="A187" s="125" t="s">
        <v>18</v>
      </c>
      <c r="B187" s="126"/>
      <c r="C187" s="126" t="s">
        <v>19</v>
      </c>
      <c r="D187" s="126"/>
      <c r="E187" s="126"/>
      <c r="F187" s="126" t="s">
        <v>20</v>
      </c>
      <c r="G187" s="126"/>
      <c r="H187" s="126"/>
      <c r="I187" s="126" t="s">
        <v>21</v>
      </c>
      <c r="J187" s="127"/>
      <c r="P187" s="68"/>
    </row>
    <row r="188" spans="1:16" s="5" customFormat="1" ht="15.75" x14ac:dyDescent="0.25">
      <c r="A188" s="173">
        <v>500000000</v>
      </c>
      <c r="B188" s="174"/>
      <c r="C188" s="174">
        <v>625000000</v>
      </c>
      <c r="D188" s="174"/>
      <c r="E188" s="174"/>
      <c r="F188" s="174">
        <v>500000000</v>
      </c>
      <c r="G188" s="174"/>
      <c r="H188" s="174"/>
      <c r="I188" s="175">
        <f>F188/C188</f>
        <v>0.8</v>
      </c>
      <c r="J188" s="176"/>
      <c r="P188" s="68"/>
    </row>
    <row r="189" spans="1:16" s="5" customFormat="1" ht="16.5" thickBot="1" x14ac:dyDescent="0.3">
      <c r="A189" s="112" t="s">
        <v>127</v>
      </c>
      <c r="B189" s="113"/>
      <c r="C189" s="113"/>
      <c r="D189" s="113"/>
      <c r="E189" s="113"/>
      <c r="F189" s="113"/>
      <c r="G189" s="113"/>
      <c r="H189" s="113"/>
      <c r="I189" s="113"/>
      <c r="J189" s="114"/>
      <c r="P189" s="68"/>
    </row>
    <row r="190" spans="1:16" s="5" customFormat="1" ht="15.75" x14ac:dyDescent="0.25">
      <c r="A190" s="177"/>
      <c r="B190" s="178"/>
      <c r="C190" s="169" t="s">
        <v>23</v>
      </c>
      <c r="D190" s="170"/>
      <c r="E190" s="171" t="s">
        <v>124</v>
      </c>
      <c r="F190" s="170"/>
      <c r="G190" s="171" t="s">
        <v>126</v>
      </c>
      <c r="H190" s="170"/>
      <c r="I190" s="153" t="s">
        <v>26</v>
      </c>
      <c r="J190" s="179"/>
      <c r="P190" s="68"/>
    </row>
    <row r="191" spans="1:16" s="5" customFormat="1" ht="47.25" x14ac:dyDescent="0.25">
      <c r="A191" s="9" t="s">
        <v>27</v>
      </c>
      <c r="B191" s="10" t="s">
        <v>28</v>
      </c>
      <c r="C191" s="10" t="s">
        <v>29</v>
      </c>
      <c r="D191" s="10" t="s">
        <v>30</v>
      </c>
      <c r="E191" s="10" t="s">
        <v>31</v>
      </c>
      <c r="F191" s="10" t="s">
        <v>32</v>
      </c>
      <c r="G191" s="10" t="s">
        <v>33</v>
      </c>
      <c r="H191" s="10" t="s">
        <v>34</v>
      </c>
      <c r="I191" s="10" t="s">
        <v>35</v>
      </c>
      <c r="J191" s="11" t="s">
        <v>36</v>
      </c>
      <c r="P191" s="68"/>
    </row>
    <row r="192" spans="1:16" s="1" customFormat="1" ht="105" customHeight="1" x14ac:dyDescent="0.25">
      <c r="A192" s="12" t="s">
        <v>70</v>
      </c>
      <c r="B192" s="23" t="s">
        <v>71</v>
      </c>
      <c r="C192" s="37">
        <v>2</v>
      </c>
      <c r="D192" s="37">
        <f>+C188</f>
        <v>625000000</v>
      </c>
      <c r="E192" s="37">
        <v>0</v>
      </c>
      <c r="F192" s="14">
        <v>125000000</v>
      </c>
      <c r="G192" s="24">
        <v>1</v>
      </c>
      <c r="H192" s="14">
        <v>125000000</v>
      </c>
      <c r="I192" s="38" t="s">
        <v>72</v>
      </c>
      <c r="J192" s="26">
        <f>+Tabla1345910111213101635[[#This Row],[Financiera  (F)]]/Tabla1345910111213101635[[#This Row],[Financiera (D)]]</f>
        <v>1</v>
      </c>
      <c r="K192" s="5"/>
      <c r="P192" s="65"/>
    </row>
    <row r="195" spans="1:16" x14ac:dyDescent="0.25">
      <c r="A195" t="s">
        <v>120</v>
      </c>
    </row>
    <row r="196" spans="1:16" s="1" customFormat="1" ht="29.25" customHeight="1" x14ac:dyDescent="0.25">
      <c r="A196" s="100" t="s">
        <v>67</v>
      </c>
      <c r="B196" s="101"/>
      <c r="C196" s="101"/>
      <c r="D196" s="101"/>
      <c r="E196" s="101"/>
      <c r="F196" s="101"/>
      <c r="G196" s="101"/>
      <c r="H196" s="101"/>
      <c r="I196" s="101"/>
      <c r="J196" s="102"/>
      <c r="P196" s="65"/>
    </row>
    <row r="197" spans="1:16" s="1" customFormat="1" ht="51.75" customHeight="1" x14ac:dyDescent="0.25">
      <c r="A197" s="19" t="s">
        <v>45</v>
      </c>
      <c r="B197" s="167" t="s">
        <v>68</v>
      </c>
      <c r="C197" s="167"/>
      <c r="D197" s="167"/>
      <c r="E197" s="167"/>
      <c r="F197" s="167"/>
      <c r="G197" s="167"/>
      <c r="H197" s="167"/>
      <c r="I197" s="167"/>
      <c r="J197" s="168"/>
      <c r="P197" s="65"/>
    </row>
    <row r="198" spans="1:16" s="1" customFormat="1" ht="18.75" x14ac:dyDescent="0.25">
      <c r="A198" s="134" t="s">
        <v>47</v>
      </c>
      <c r="B198" s="135"/>
      <c r="C198" s="135"/>
      <c r="D198" s="135"/>
      <c r="E198" s="135"/>
      <c r="F198" s="135"/>
      <c r="G198" s="135"/>
      <c r="H198" s="135"/>
      <c r="I198" s="135"/>
      <c r="J198" s="136"/>
      <c r="P198" s="65"/>
    </row>
    <row r="199" spans="1:16" s="1" customFormat="1" ht="15.75" x14ac:dyDescent="0.25">
      <c r="A199" s="122" t="s">
        <v>17</v>
      </c>
      <c r="B199" s="123"/>
      <c r="C199" s="123"/>
      <c r="D199" s="123"/>
      <c r="E199" s="123"/>
      <c r="F199" s="123"/>
      <c r="G199" s="123"/>
      <c r="H199" s="123"/>
      <c r="I199" s="123"/>
      <c r="J199" s="124"/>
      <c r="P199" s="65"/>
    </row>
    <row r="200" spans="1:16" s="1" customFormat="1" ht="15.75" x14ac:dyDescent="0.25">
      <c r="A200" s="125" t="s">
        <v>18</v>
      </c>
      <c r="B200" s="126"/>
      <c r="C200" s="126" t="s">
        <v>19</v>
      </c>
      <c r="D200" s="126"/>
      <c r="E200" s="126"/>
      <c r="F200" s="126" t="s">
        <v>20</v>
      </c>
      <c r="G200" s="126"/>
      <c r="H200" s="126"/>
      <c r="I200" s="126" t="s">
        <v>21</v>
      </c>
      <c r="J200" s="127"/>
      <c r="P200" s="65"/>
    </row>
    <row r="201" spans="1:16" s="1" customFormat="1" ht="15.75" x14ac:dyDescent="0.25">
      <c r="A201" s="173">
        <v>500000000</v>
      </c>
      <c r="B201" s="174"/>
      <c r="C201" s="174">
        <v>625000000</v>
      </c>
      <c r="D201" s="174"/>
      <c r="E201" s="174"/>
      <c r="F201" s="174">
        <v>500000000</v>
      </c>
      <c r="G201" s="174"/>
      <c r="H201" s="174"/>
      <c r="I201" s="175">
        <f>F201/C201</f>
        <v>0.8</v>
      </c>
      <c r="J201" s="176"/>
      <c r="P201" s="65"/>
    </row>
    <row r="202" spans="1:16" s="1" customFormat="1" ht="16.5" thickBot="1" x14ac:dyDescent="0.3">
      <c r="A202" s="112" t="s">
        <v>127</v>
      </c>
      <c r="B202" s="113"/>
      <c r="C202" s="113"/>
      <c r="D202" s="113"/>
      <c r="E202" s="113"/>
      <c r="F202" s="113"/>
      <c r="G202" s="113"/>
      <c r="H202" s="113"/>
      <c r="I202" s="113"/>
      <c r="J202" s="114"/>
      <c r="P202" s="65"/>
    </row>
    <row r="203" spans="1:16" s="1" customFormat="1" ht="15.75" x14ac:dyDescent="0.25">
      <c r="A203" s="177"/>
      <c r="B203" s="178"/>
      <c r="C203" s="169" t="s">
        <v>23</v>
      </c>
      <c r="D203" s="170"/>
      <c r="E203" s="171" t="s">
        <v>124</v>
      </c>
      <c r="F203" s="170"/>
      <c r="G203" s="171" t="s">
        <v>126</v>
      </c>
      <c r="H203" s="170"/>
      <c r="I203" s="153" t="s">
        <v>26</v>
      </c>
      <c r="J203" s="179"/>
      <c r="P203" s="65"/>
    </row>
    <row r="204" spans="1:16" s="1" customFormat="1" ht="47.25" x14ac:dyDescent="0.25">
      <c r="A204" s="9" t="s">
        <v>27</v>
      </c>
      <c r="B204" s="10" t="s">
        <v>28</v>
      </c>
      <c r="C204" s="10" t="s">
        <v>29</v>
      </c>
      <c r="D204" s="10" t="s">
        <v>30</v>
      </c>
      <c r="E204" s="10" t="s">
        <v>31</v>
      </c>
      <c r="F204" s="10" t="s">
        <v>32</v>
      </c>
      <c r="G204" s="10" t="s">
        <v>33</v>
      </c>
      <c r="H204" s="10" t="s">
        <v>34</v>
      </c>
      <c r="I204" s="10" t="s">
        <v>35</v>
      </c>
      <c r="J204" s="11" t="s">
        <v>36</v>
      </c>
      <c r="P204" s="65"/>
    </row>
    <row r="205" spans="1:16" s="1" customFormat="1" ht="105" customHeight="1" x14ac:dyDescent="0.25">
      <c r="A205" s="12" t="s">
        <v>70</v>
      </c>
      <c r="B205" s="23" t="s">
        <v>71</v>
      </c>
      <c r="C205" s="37">
        <v>2</v>
      </c>
      <c r="D205" s="37">
        <f>+C201</f>
        <v>625000000</v>
      </c>
      <c r="E205" s="37">
        <v>2</v>
      </c>
      <c r="F205" s="14">
        <v>125000000</v>
      </c>
      <c r="G205" s="24">
        <v>0</v>
      </c>
      <c r="H205" s="14">
        <v>125000000</v>
      </c>
      <c r="I205" s="38" t="s">
        <v>72</v>
      </c>
      <c r="J205" s="26">
        <f>+Tabla1345910111213101136[[#This Row],[Financiera  (F)]]/Tabla1345910111213101136[[#This Row],[Financiera (D)]]</f>
        <v>1</v>
      </c>
      <c r="P205" s="65"/>
    </row>
  </sheetData>
  <mergeCells count="272">
    <mergeCell ref="A170:J170"/>
    <mergeCell ref="A176:B176"/>
    <mergeCell ref="C176:E176"/>
    <mergeCell ref="F176:H176"/>
    <mergeCell ref="I176:J176"/>
    <mergeCell ref="A177:J177"/>
    <mergeCell ref="A178:B178"/>
    <mergeCell ref="C178:D178"/>
    <mergeCell ref="E178:F178"/>
    <mergeCell ref="G178:H178"/>
    <mergeCell ref="I178:J178"/>
    <mergeCell ref="A171:J171"/>
    <mergeCell ref="B172:J172"/>
    <mergeCell ref="A173:J173"/>
    <mergeCell ref="A174:J174"/>
    <mergeCell ref="A175:B175"/>
    <mergeCell ref="C175:E175"/>
    <mergeCell ref="F175:H175"/>
    <mergeCell ref="I175:J175"/>
    <mergeCell ref="A201:B201"/>
    <mergeCell ref="C201:E201"/>
    <mergeCell ref="F201:H201"/>
    <mergeCell ref="I201:J201"/>
    <mergeCell ref="A202:J202"/>
    <mergeCell ref="A203:B203"/>
    <mergeCell ref="C203:D203"/>
    <mergeCell ref="E203:F203"/>
    <mergeCell ref="G203:H203"/>
    <mergeCell ref="I203:J203"/>
    <mergeCell ref="A196:J196"/>
    <mergeCell ref="B197:J197"/>
    <mergeCell ref="A198:J198"/>
    <mergeCell ref="A199:J199"/>
    <mergeCell ref="A200:B200"/>
    <mergeCell ref="C200:E200"/>
    <mergeCell ref="F200:H200"/>
    <mergeCell ref="I200:J200"/>
    <mergeCell ref="A188:B188"/>
    <mergeCell ref="C188:E188"/>
    <mergeCell ref="F188:H188"/>
    <mergeCell ref="I188:J188"/>
    <mergeCell ref="A189:J189"/>
    <mergeCell ref="A190:B190"/>
    <mergeCell ref="C190:D190"/>
    <mergeCell ref="E190:F190"/>
    <mergeCell ref="G190:H190"/>
    <mergeCell ref="I190:J190"/>
    <mergeCell ref="A131:J131"/>
    <mergeCell ref="A183:J183"/>
    <mergeCell ref="B184:J184"/>
    <mergeCell ref="A185:J185"/>
    <mergeCell ref="A186:J186"/>
    <mergeCell ref="A187:B187"/>
    <mergeCell ref="C187:E187"/>
    <mergeCell ref="F187:H187"/>
    <mergeCell ref="I187:J187"/>
    <mergeCell ref="A137:B137"/>
    <mergeCell ref="C137:E137"/>
    <mergeCell ref="F137:H137"/>
    <mergeCell ref="I137:J137"/>
    <mergeCell ref="A138:J138"/>
    <mergeCell ref="A139:B139"/>
    <mergeCell ref="C139:D139"/>
    <mergeCell ref="E139:F139"/>
    <mergeCell ref="G139:H139"/>
    <mergeCell ref="I139:J139"/>
    <mergeCell ref="A132:J132"/>
    <mergeCell ref="B133:J133"/>
    <mergeCell ref="A134:J134"/>
    <mergeCell ref="A135:J135"/>
    <mergeCell ref="A136:B136"/>
    <mergeCell ref="C136:E136"/>
    <mergeCell ref="F136:H136"/>
    <mergeCell ref="I136:J136"/>
    <mergeCell ref="A163:B163"/>
    <mergeCell ref="C163:E163"/>
    <mergeCell ref="F163:H163"/>
    <mergeCell ref="I163:J163"/>
    <mergeCell ref="A164:J164"/>
    <mergeCell ref="A165:B165"/>
    <mergeCell ref="C165:D165"/>
    <mergeCell ref="E165:F165"/>
    <mergeCell ref="G165:H165"/>
    <mergeCell ref="I165:J165"/>
    <mergeCell ref="A158:J158"/>
    <mergeCell ref="B159:J159"/>
    <mergeCell ref="A160:J160"/>
    <mergeCell ref="A161:J161"/>
    <mergeCell ref="A162:B162"/>
    <mergeCell ref="C162:E162"/>
    <mergeCell ref="F162:H162"/>
    <mergeCell ref="I162:J162"/>
    <mergeCell ref="A150:B150"/>
    <mergeCell ref="C150:E150"/>
    <mergeCell ref="F150:H150"/>
    <mergeCell ref="I150:J150"/>
    <mergeCell ref="A151:J151"/>
    <mergeCell ref="A152:B152"/>
    <mergeCell ref="C152:D152"/>
    <mergeCell ref="E152:F152"/>
    <mergeCell ref="G152:H152"/>
    <mergeCell ref="I152:J152"/>
    <mergeCell ref="A94:J94"/>
    <mergeCell ref="A145:J145"/>
    <mergeCell ref="B146:J146"/>
    <mergeCell ref="A147:J147"/>
    <mergeCell ref="A148:J148"/>
    <mergeCell ref="A149:B149"/>
    <mergeCell ref="C149:E149"/>
    <mergeCell ref="F149:H149"/>
    <mergeCell ref="I149:J149"/>
    <mergeCell ref="A100:B100"/>
    <mergeCell ref="C100:E100"/>
    <mergeCell ref="F100:H100"/>
    <mergeCell ref="I100:J100"/>
    <mergeCell ref="A101:J101"/>
    <mergeCell ref="C102:D102"/>
    <mergeCell ref="E102:F102"/>
    <mergeCell ref="G102:H102"/>
    <mergeCell ref="I102:J102"/>
    <mergeCell ref="A95:J95"/>
    <mergeCell ref="B96:J96"/>
    <mergeCell ref="A97:J97"/>
    <mergeCell ref="A98:J98"/>
    <mergeCell ref="A99:B99"/>
    <mergeCell ref="C99:E99"/>
    <mergeCell ref="F99:H99"/>
    <mergeCell ref="I99:J99"/>
    <mergeCell ref="A124:B124"/>
    <mergeCell ref="C124:E124"/>
    <mergeCell ref="F124:H124"/>
    <mergeCell ref="I124:J124"/>
    <mergeCell ref="A125:J125"/>
    <mergeCell ref="C126:D126"/>
    <mergeCell ref="E126:F126"/>
    <mergeCell ref="G126:H126"/>
    <mergeCell ref="I126:J126"/>
    <mergeCell ref="B120:J120"/>
    <mergeCell ref="A121:J121"/>
    <mergeCell ref="A122:J122"/>
    <mergeCell ref="A123:B123"/>
    <mergeCell ref="C123:E123"/>
    <mergeCell ref="F123:H123"/>
    <mergeCell ref="I123:J123"/>
    <mergeCell ref="A113:J113"/>
    <mergeCell ref="C114:D114"/>
    <mergeCell ref="E114:F114"/>
    <mergeCell ref="G114:H114"/>
    <mergeCell ref="I114:J114"/>
    <mergeCell ref="A119:J119"/>
    <mergeCell ref="A111:B111"/>
    <mergeCell ref="C111:E111"/>
    <mergeCell ref="F111:H111"/>
    <mergeCell ref="I111:J111"/>
    <mergeCell ref="A112:B112"/>
    <mergeCell ref="C112:E112"/>
    <mergeCell ref="F112:H112"/>
    <mergeCell ref="I112:J112"/>
    <mergeCell ref="A23:J23"/>
    <mergeCell ref="A56:J56"/>
    <mergeCell ref="A107:J107"/>
    <mergeCell ref="B108:J108"/>
    <mergeCell ref="A109:J109"/>
    <mergeCell ref="A110:J110"/>
    <mergeCell ref="A62:B62"/>
    <mergeCell ref="C62:E62"/>
    <mergeCell ref="F62:H62"/>
    <mergeCell ref="I62:J62"/>
    <mergeCell ref="A63:J63"/>
    <mergeCell ref="A64:B64"/>
    <mergeCell ref="C64:D64"/>
    <mergeCell ref="E64:F64"/>
    <mergeCell ref="G64:H64"/>
    <mergeCell ref="I64:J64"/>
    <mergeCell ref="A74:B74"/>
    <mergeCell ref="C74:E74"/>
    <mergeCell ref="F74:H74"/>
    <mergeCell ref="I74:J74"/>
    <mergeCell ref="A75:J75"/>
    <mergeCell ref="A76:B76"/>
    <mergeCell ref="C76:D76"/>
    <mergeCell ref="E76:F76"/>
    <mergeCell ref="G76:H76"/>
    <mergeCell ref="I76:J76"/>
    <mergeCell ref="A88:J88"/>
    <mergeCell ref="A89:B89"/>
    <mergeCell ref="C89:D89"/>
    <mergeCell ref="E89:F89"/>
    <mergeCell ref="G89:H89"/>
    <mergeCell ref="I89:J89"/>
    <mergeCell ref="A82:J82"/>
    <mergeCell ref="B83:J83"/>
    <mergeCell ref="A84:J84"/>
    <mergeCell ref="A85:J85"/>
    <mergeCell ref="A86:B86"/>
    <mergeCell ref="C86:E86"/>
    <mergeCell ref="F86:H86"/>
    <mergeCell ref="I86:J86"/>
    <mergeCell ref="A87:B87"/>
    <mergeCell ref="C87:E87"/>
    <mergeCell ref="F87:H87"/>
    <mergeCell ref="I87:J87"/>
    <mergeCell ref="C29:D29"/>
    <mergeCell ref="E29:F29"/>
    <mergeCell ref="G29:H29"/>
    <mergeCell ref="I29:J29"/>
    <mergeCell ref="A49:J49"/>
    <mergeCell ref="A50:B50"/>
    <mergeCell ref="C50:D50"/>
    <mergeCell ref="E50:F50"/>
    <mergeCell ref="G50:H50"/>
    <mergeCell ref="I50:J50"/>
    <mergeCell ref="G40:H40"/>
    <mergeCell ref="I40:J40"/>
    <mergeCell ref="A38:B38"/>
    <mergeCell ref="C38:E38"/>
    <mergeCell ref="F38:H38"/>
    <mergeCell ref="I38:J38"/>
    <mergeCell ref="A39:J39"/>
    <mergeCell ref="A40:B40"/>
    <mergeCell ref="C40:D40"/>
    <mergeCell ref="E40:F40"/>
    <mergeCell ref="A73:B73"/>
    <mergeCell ref="C73:E73"/>
    <mergeCell ref="F73:H73"/>
    <mergeCell ref="I73:J73"/>
    <mergeCell ref="A69:J69"/>
    <mergeCell ref="B70:J70"/>
    <mergeCell ref="A57:J57"/>
    <mergeCell ref="B58:J58"/>
    <mergeCell ref="A59:J59"/>
    <mergeCell ref="A60:J60"/>
    <mergeCell ref="A61:B61"/>
    <mergeCell ref="C61:E61"/>
    <mergeCell ref="F61:H61"/>
    <mergeCell ref="I61:J61"/>
    <mergeCell ref="A71:J71"/>
    <mergeCell ref="A72:J72"/>
    <mergeCell ref="A48:B48"/>
    <mergeCell ref="C48:E48"/>
    <mergeCell ref="F48:H48"/>
    <mergeCell ref="I48:J48"/>
    <mergeCell ref="A45:J45"/>
    <mergeCell ref="A46:J46"/>
    <mergeCell ref="A47:B47"/>
    <mergeCell ref="C47:E47"/>
    <mergeCell ref="F47:H47"/>
    <mergeCell ref="I47:J47"/>
    <mergeCell ref="A35:J35"/>
    <mergeCell ref="A36:J36"/>
    <mergeCell ref="A37:B37"/>
    <mergeCell ref="C37:E37"/>
    <mergeCell ref="F37:H37"/>
    <mergeCell ref="I37:J37"/>
    <mergeCell ref="F3:F4"/>
    <mergeCell ref="G3:G4"/>
    <mergeCell ref="H3:L3"/>
    <mergeCell ref="F14:F15"/>
    <mergeCell ref="G14:G15"/>
    <mergeCell ref="H14:H15"/>
    <mergeCell ref="A24:J24"/>
    <mergeCell ref="A25:J25"/>
    <mergeCell ref="A26:B26"/>
    <mergeCell ref="C26:E26"/>
    <mergeCell ref="F26:H26"/>
    <mergeCell ref="I26:J26"/>
    <mergeCell ref="A27:B27"/>
    <mergeCell ref="C27:E27"/>
    <mergeCell ref="F27:H27"/>
    <mergeCell ref="I27:J27"/>
    <mergeCell ref="A28:J28"/>
    <mergeCell ref="A29:B29"/>
  </mergeCells>
  <dataValidations count="9">
    <dataValidation allowBlank="1" showInputMessage="1" showErrorMessage="1" prompt="Monto ejecutado en el trimestre" sqref="H41:H42 H51:H52 H179 H30 H78 H66 H115:H116 H127:H128 H103 H153:H154 H166:H167 H140 H191 H204 H91" xr:uid="{19C561E5-1FBB-4404-B157-9E2E837224CA}"/>
    <dataValidation allowBlank="1" showInputMessage="1" showErrorMessage="1" prompt="Meta alcanzada en el trimestre" sqref="G41:G42 G51:G52 G30 G179 G78 G115 G127 G103 G153:G154 G166:G167 G140 G191:G192 G204:G205 G91" xr:uid="{360854BA-48B7-4A3C-A592-54342D063D23}"/>
    <dataValidation allowBlank="1" showInputMessage="1" showErrorMessage="1" prompt="Monto presupuestado para el producto" sqref="D41:D42 F41 E42 D51:D52 F51 E52 D30:D31 F30 D66 D78:F78 D115:D116 F115:F116 E116 D127:D128 F127:F128 E128 D103:D105 F103 D153:D154 F153:F154 D166:D167 F166:F167 D140 F140 D191:D192 F191 E192 D204:D205 F204 E205 D179:D180 F179 E180 D91:F91" xr:uid="{29838E54-C4CC-4DDA-B0E4-AA60FABEAEB2}"/>
    <dataValidation allowBlank="1" showInputMessage="1" showErrorMessage="1" prompt="Meta anual del indicador" sqref="C41:C42 E41 C51:C52 E51 E204 E30:E31 C103:C105 D141 F31:H31 C78 C30:C31 C115:C116 E115 C127:C128 E127 C179:C180 E103:E105 E179 F104:H105 C153:C154 E153 C166:C167 E166 C140:C141 E140:E141 C66 F141:H141 C191:C192 E191 C204:C205 E66:G66 C91" xr:uid="{ECAD1741-B3E7-4358-80F6-702885FADF57}"/>
    <dataValidation allowBlank="1" showInputMessage="1" showErrorMessage="1" prompt="Nombre del indicador" sqref="B41:B42 B51:B52 B30:B31 B179:B180 B77:B78 B65:B66 B115:B116 B127:B128 B103:B105 B153:B154 B166:B167 B140:B141 B191:B192 B204:B205 B90:B91" xr:uid="{D37484C6-F79B-4C4D-BBAE-EC630F5C879B}"/>
    <dataValidation allowBlank="1" showInputMessage="1" showErrorMessage="1" prompt="Nombre de cada producto" sqref="A41:A42 A51:A52 A30:A31 A179:A180 A77:A78 A65:A66 A115:A116 A127:A128 A103:A105 A153:A154 A166:A167 A140:A141 A191:A192 A204:A205 A90:A91" xr:uid="{E08926A4-62AC-4E15-AF90-09FDC8468824}"/>
    <dataValidation allowBlank="1" showInputMessage="1" showErrorMessage="1" prompt="Nombre del producto" sqref="A35 A45 A24 A107 A119 A95 A145 A158 A132 A183 A196 A171" xr:uid="{4EC83F85-985F-41D7-93A7-B50CCE34D10B}"/>
    <dataValidation allowBlank="1" showInputMessage="1" showErrorMessage="1" prompt="Presupuesto del programa" sqref="A38:C38 F38 A48:C48 F48 A27:C27 F27 A176:C176 F176 A74:C74 F74 A62:C62 F62 A112:C112 F112 A124:C124 F124 A100:C100 F100 A150:C150 F150 A163:C163 F163 A137:C137 F137 A188:C188 F188 A201:C201 F201 A87:C87 F87" xr:uid="{F2BD835A-C8CD-4FCC-9AB5-9905C618E4CA}"/>
    <dataValidation allowBlank="1" showInputMessage="1" showErrorMessage="1" prompt="¿En qué consiste el producto? su objetivo" sqref="B172:J172 B70:J70 B58:J58 B108:J108 B120:J120 B96:J96 B146:J146 B159:J159 B133:J133 B184:J184 B197:J197 B83:J83" xr:uid="{A23A3DC0-7D64-414F-BAE7-1E46AF988DB4}"/>
  </dataValidations>
  <pageMargins left="0.7" right="0.7" top="0.75" bottom="0.75" header="0.3" footer="0.3"/>
  <tableParts count="15">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Informe 3er. trimestre</vt:lpstr>
      <vt:lpstr>Informe 4to. trimestre (2)</vt:lpstr>
      <vt:lpstr>Informe 2do semestre</vt:lpstr>
      <vt:lpstr>Hoja3</vt:lpstr>
      <vt:lpstr>'Informe 2do semestre'!Área_de_impresión</vt:lpstr>
      <vt:lpstr>'Informe 3er. trimestre'!Área_de_impresión</vt:lpstr>
      <vt:lpstr>'Informe 4to. trimestre (2)'!Área_de_impresión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Yakaira Rodriguez Espinal</dc:creator>
  <cp:lastModifiedBy>Cecilia Guzman</cp:lastModifiedBy>
  <cp:lastPrinted>2026-01-19T19:06:59Z</cp:lastPrinted>
  <dcterms:created xsi:type="dcterms:W3CDTF">2025-10-15T16:40:25Z</dcterms:created>
  <dcterms:modified xsi:type="dcterms:W3CDTF">2026-01-19T19:25:53Z</dcterms:modified>
</cp:coreProperties>
</file>