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PRESUPUESTO APROBADO\Metas Fisicas Financieras\Metas Fisicas Financieras - Trimestral\metas fisicas -2022\"/>
    </mc:Choice>
  </mc:AlternateContent>
  <bookViews>
    <workbookView xWindow="0" yWindow="0" windowWidth="28800" windowHeight="12210"/>
  </bookViews>
  <sheets>
    <sheet name="Transporte de pasajeros" sheetId="6" r:id="rId1"/>
    <sheet name="Rótulos" sheetId="7" r:id="rId2"/>
    <sheet name="Permisos de Tran carga (2)" sheetId="8" r:id="rId3"/>
    <sheet name="MotoTaxi . Educacion Vial" sheetId="14" r:id="rId4"/>
    <sheet name="Ciu. Licencia de conducir" sheetId="4" r:id="rId5"/>
    <sheet name="ITV" sheetId="9" r:id="rId6"/>
    <sheet name="Campaña Educativa" sheetId="10" r:id="rId7"/>
    <sheet name="Eventos Seg. Vial" sheetId="11" r:id="rId8"/>
    <sheet name="CPU. Educacion Vial" sheetId="12" r:id="rId9"/>
    <sheet name="PCT. Educacion Vial" sheetId="13" r:id="rId10"/>
    <sheet name="Diseño de Corredores" sheetId="15" r:id="rId11"/>
    <sheet name="Corredores Integrados" sheetId="16" r:id="rId12"/>
    <sheet name="Alcandia Asistencia Tec." sheetId="17" r:id="rId13"/>
    <sheet name="Alcandia planes movilidad" sheetId="18" r:id="rId14"/>
    <sheet name="Hoja1" sheetId="19" state="hidden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6" l="1"/>
  <c r="J29" i="7"/>
  <c r="J30" i="7"/>
  <c r="I29" i="14"/>
  <c r="J29" i="18"/>
  <c r="J30" i="18"/>
  <c r="I29" i="18"/>
  <c r="I30" i="18"/>
  <c r="J29" i="17"/>
  <c r="J30" i="17"/>
  <c r="I29" i="17"/>
  <c r="I30" i="17"/>
  <c r="J29" i="16"/>
  <c r="J30" i="16"/>
  <c r="I29" i="16"/>
  <c r="I30" i="16"/>
  <c r="J29" i="15"/>
  <c r="J30" i="15"/>
  <c r="I29" i="15"/>
  <c r="I30" i="15"/>
  <c r="J29" i="13"/>
  <c r="J30" i="13"/>
  <c r="I29" i="13"/>
  <c r="I30" i="13"/>
  <c r="I29" i="12"/>
  <c r="J29" i="12"/>
  <c r="J30" i="12"/>
  <c r="I30" i="12"/>
  <c r="J29" i="11"/>
  <c r="J30" i="11"/>
  <c r="I29" i="11"/>
  <c r="I30" i="11"/>
  <c r="J29" i="10"/>
  <c r="J30" i="10"/>
  <c r="I29" i="10"/>
  <c r="I30" i="10"/>
  <c r="J29" i="9"/>
  <c r="J30" i="9"/>
  <c r="I29" i="9"/>
  <c r="I30" i="9"/>
  <c r="I29" i="4"/>
  <c r="J29" i="4"/>
  <c r="J30" i="4"/>
  <c r="I30" i="4"/>
  <c r="J29" i="14"/>
  <c r="J30" i="14"/>
  <c r="I30" i="14"/>
  <c r="J29" i="8"/>
  <c r="I29" i="8"/>
  <c r="I29" i="7"/>
  <c r="I30" i="7"/>
  <c r="J29" i="6"/>
  <c r="J30" i="6"/>
  <c r="I30" i="6"/>
  <c r="I25" i="8" l="1"/>
  <c r="I25" i="7"/>
  <c r="I25" i="6"/>
  <c r="I25" i="18"/>
  <c r="I25" i="17"/>
  <c r="I25" i="16"/>
  <c r="I25" i="15"/>
  <c r="I25" i="13"/>
  <c r="I25" i="12"/>
  <c r="I25" i="11"/>
  <c r="I25" i="10"/>
  <c r="I25" i="9"/>
  <c r="I25" i="4"/>
  <c r="C16" i="18"/>
  <c r="B15" i="18"/>
  <c r="C15" i="18" s="1"/>
  <c r="B14" i="18"/>
  <c r="C14" i="18" s="1"/>
  <c r="C16" i="17"/>
  <c r="B15" i="17"/>
  <c r="C15" i="17" s="1"/>
  <c r="B14" i="17"/>
  <c r="C14" i="17" s="1"/>
  <c r="C16" i="16"/>
  <c r="B15" i="16"/>
  <c r="C15" i="16" s="1"/>
  <c r="B14" i="16"/>
  <c r="C14" i="16" s="1"/>
  <c r="C16" i="15"/>
  <c r="B15" i="15"/>
  <c r="C15" i="15" s="1"/>
  <c r="B14" i="15"/>
  <c r="C14" i="15" s="1"/>
  <c r="I25" i="14"/>
  <c r="C16" i="14"/>
  <c r="B15" i="14"/>
  <c r="C15" i="14" s="1"/>
  <c r="B14" i="14"/>
  <c r="C14" i="14" s="1"/>
  <c r="C16" i="13" l="1"/>
  <c r="B15" i="13"/>
  <c r="C15" i="13" s="1"/>
  <c r="B14" i="13"/>
  <c r="C14" i="13" s="1"/>
  <c r="C16" i="12"/>
  <c r="B15" i="12"/>
  <c r="C15" i="12" s="1"/>
  <c r="B14" i="12"/>
  <c r="C14" i="12" s="1"/>
  <c r="C16" i="11"/>
  <c r="B15" i="11"/>
  <c r="C15" i="11" s="1"/>
  <c r="C14" i="11"/>
  <c r="B14" i="11"/>
  <c r="C16" i="10"/>
  <c r="B15" i="10"/>
  <c r="C15" i="10" s="1"/>
  <c r="B14" i="10"/>
  <c r="C14" i="10" s="1"/>
  <c r="C16" i="9"/>
  <c r="B15" i="9"/>
  <c r="C15" i="9" s="1"/>
  <c r="B14" i="9"/>
  <c r="C14" i="9" s="1"/>
  <c r="J30" i="8"/>
  <c r="I30" i="8"/>
  <c r="C16" i="8"/>
  <c r="B15" i="8"/>
  <c r="C15" i="8" s="1"/>
  <c r="B14" i="8"/>
  <c r="C14" i="8" s="1"/>
  <c r="C16" i="7" l="1"/>
  <c r="B15" i="7"/>
  <c r="C15" i="7" s="1"/>
  <c r="B14" i="7"/>
  <c r="C14" i="7" s="1"/>
  <c r="C16" i="6"/>
  <c r="B15" i="6"/>
  <c r="C15" i="6" s="1"/>
  <c r="B14" i="6"/>
  <c r="C14" i="6" s="1"/>
  <c r="C16" i="4"/>
  <c r="B15" i="4"/>
  <c r="C15" i="4" s="1"/>
  <c r="B14" i="4"/>
  <c r="C14" i="4" s="1"/>
</calcChain>
</file>

<file path=xl/sharedStrings.xml><?xml version="1.0" encoding="utf-8"?>
<sst xmlns="http://schemas.openxmlformats.org/spreadsheetml/2006/main" count="957" uniqueCount="149">
  <si>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</si>
  <si>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</si>
  <si>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</si>
  <si>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</si>
  <si>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</si>
  <si>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</si>
  <si>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</si>
  <si>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</si>
  <si>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</si>
  <si>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</si>
  <si>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</si>
  <si>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</si>
  <si>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</si>
  <si>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</si>
  <si>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</si>
  <si>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</si>
  <si>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</si>
  <si>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</si>
  <si>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</si>
  <si>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</si>
  <si>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</si>
  <si>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</si>
  <si>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</si>
  <si>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</si>
  <si>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</si>
  <si>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</si>
  <si>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</si>
  <si>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</si>
  <si>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</si>
  <si>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</si>
  <si>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</si>
  <si>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</si>
  <si>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</si>
  <si>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</si>
  <si>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</si>
  <si>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</si>
  <si>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</si>
  <si>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</si>
  <si>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</si>
  <si>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</si>
  <si>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</si>
  <si>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</si>
  <si>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</si>
  <si>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</si>
  <si>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</si>
  <si>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</si>
  <si>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</si>
  <si>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</si>
  <si>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</si>
  <si>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Informe de Evaluación Trimestral de las Metas Físicas-Financieras</t>
  </si>
  <si>
    <t>Ser un referente internacional en la gestión de un modelo de movilidad terrestre sostenible, eficiente, accesible y seguro contribuyendo a mejorar la calidad de vida de los ciudadanos.</t>
  </si>
  <si>
    <t>Instituto Nacional de Transito y Transporte Terrestre</t>
  </si>
  <si>
    <t>Ciudadanos reciben licencia de conducir</t>
  </si>
  <si>
    <t>Es la entrega del documento que autoriza a ciudadanos dominicanos y a  extranjeros  a conducir 
en la República Dominicana</t>
  </si>
  <si>
    <t>I -Información Institucional</t>
  </si>
  <si>
    <t>Cantidad de servicios de licencias emitidas.</t>
  </si>
  <si>
    <t>Reducción de las muertes y morbilidad asociadas a los siniestros viales</t>
  </si>
  <si>
    <t>5182-Instituto Nacional de Transito y Transporte Terrestre</t>
  </si>
  <si>
    <t>Dentro de las actividades que se ejecutan en este programa podemos destacar las siguientes: regularización el transito y el transporte terrestre; la gestión de las licencias de operaciones de transporte de carga y la gestión de las licencias de operaciones  de transportes de pasajeros.</t>
  </si>
  <si>
    <t>Gestionar la rectoría nacional de la movilidad, el transporte terrestre, el tránsito y la seguridad vial, con un enfoque integral para la transformación de los diferentes sectores, requeridos para el desarrollo socioeconómico de la República Dominicana.</t>
  </si>
  <si>
    <t>Gestionar la rectoría nacional de la movilidad, el transporte terrestre, el tránsito y la seguridad vial, con un enfoque integral para la transformación de los diferentes sectores, requeridos para el desarrollo socioeconómico de la República Dominicana</t>
  </si>
  <si>
    <t>Licencias de operaciones otorgadas</t>
  </si>
  <si>
    <t>Son las autorizaciones otorgadas a los prestadores de servicios de transporte de pasajeros para sus operaciones.</t>
  </si>
  <si>
    <t>Ciudadanos, Empresas y Operadores de Transporte</t>
  </si>
  <si>
    <t>Son las identificaciones colocadas a los vehículos registrados que brindan sus servicios al transporte público y privado.</t>
  </si>
  <si>
    <t>Prestadores de servicio de transporte de pasajero reciben rótulos para sus vehículos</t>
  </si>
  <si>
    <t>Empresas Transportistas reciben Licencias de operaciones de transporte de carga.</t>
  </si>
  <si>
    <t>Son las autorizaciones otorgadas a los prestadores de servicios de transporte de carga para sus operaciones.</t>
  </si>
  <si>
    <t>cantidad de inspecciones técnica realizadas</t>
  </si>
  <si>
    <t>Ciudadanos reciben campañas educativas de seguridad vial</t>
  </si>
  <si>
    <t>cantidad campañas educativas de SV</t>
  </si>
  <si>
    <t>Son esfuerzos de informar y persuadir o motivar a las personas en procura de cambiar sus creencias y conductas para mejorar la seguridad vial en general, por medio de actividades de comunicación.</t>
  </si>
  <si>
    <t>Personas reciben eventos promocionales de la seguridad vial</t>
  </si>
  <si>
    <t>cantidad de eventos realizados</t>
  </si>
  <si>
    <t>Sumatoria de personas capacitados en programa de conciencia vial</t>
  </si>
  <si>
    <t>Son esfuerzos (talleres, Charlas, Seminarios, Diplomados entre otros) de informar, persuadir o motivar a las personas en procura de cambiar sus creencias y conductas para mejorar la seguridad vial en general por medio de actividades de comunicación.</t>
  </si>
  <si>
    <t>Cantidad de ciudadanos impactados por la capacitación sobre movilidad, transito, transporte y seguridad vial.</t>
  </si>
  <si>
    <t>Procesos formativos en materia de educación vial</t>
  </si>
  <si>
    <t xml:space="preserve">Mototaxistas regulados reciben capacitación en seguridad vial					
					</t>
  </si>
  <si>
    <t xml:space="preserve">Sumatoria de  mototaxistas  capacitados  					</t>
  </si>
  <si>
    <t xml:space="preserve">Es el programa formativo en temas de seguridad vial a los Motos taxista con el objetivo de disminuir la tasa de mortalidad y las infracciones de tránsito					
					</t>
  </si>
  <si>
    <t xml:space="preserve">Diseño de corredores integrados al sistema de transporte público, sostenible y al alcance de los usuarios en el Gran Santo Domingo y Santiago					
					</t>
  </si>
  <si>
    <t xml:space="preserve">Cantidad de diseños de Corredores  Integrados al Sistema 								</t>
  </si>
  <si>
    <t xml:space="preserve">Instituciones públicas y operadores de transporte reciben diseños de corredores 									
					</t>
  </si>
  <si>
    <t xml:space="preserve">Corredores integrados al Sistema 										</t>
  </si>
  <si>
    <t xml:space="preserve">Usuarios del sistema de transporte público de pasajeros cuentan con corredores integrados al servicio de la ciudadanía	</t>
  </si>
  <si>
    <t xml:space="preserve">La implementación de infraestructura y señalización de los corredores fortalecerá el sistema de transporte 					
					</t>
  </si>
  <si>
    <t xml:space="preserve">Alcaldías reciben asistencias técnicas en materia de movilidad y tránsito					
						</t>
  </si>
  <si>
    <t xml:space="preserve">Consiste en brindar asistencia técnica en los municipios para fortalecer las capacidades técnicas del personal de las alcaldías y los distritos municipales					
					</t>
  </si>
  <si>
    <t xml:space="preserve">Estos planes buscan reducir la mortalidad y viabilizar el tránsito, atendiendo los y los planes de los diferentes municipios y distritos municipales					
					</t>
  </si>
  <si>
    <t xml:space="preserve">Cantidad de municipios con Planes de Movilidad 												</t>
  </si>
  <si>
    <t>Ciudadanos, Operadores del Sector Transporte, Sector Público y Sector Privado.</t>
  </si>
  <si>
    <t>Cantidad de unidades rotuladas</t>
  </si>
  <si>
    <t>12-Seguridad Vial Integral y Movilidad Sostenible</t>
  </si>
  <si>
    <t>11-Transporte y Transito Terrestre</t>
  </si>
  <si>
    <t>Conductores reciben inspección técnica vehicular</t>
  </si>
  <si>
    <t>vehículos de motor reciben inspección técnica vehicular: tiene por objeto comprobar si los mismos cumplen las condiciones técnicas exigidas por la Ley 63-17 y la Normativa Técnica para su circulación por las vías pública</t>
  </si>
  <si>
    <t>Son eventos que se efectúan con la objetivo de promocionar la seguridad vial.</t>
  </si>
  <si>
    <t>Conductores, Peatones y Usuarios de transporte masivo de pasajeros reciben educación vial</t>
  </si>
  <si>
    <t>Población recibe cursos y talleres de educación y formación vial</t>
  </si>
  <si>
    <t xml:space="preserve">Cantidad de Asistencias Técnicas Realizadas								</t>
  </si>
  <si>
    <t>3.3.6</t>
  </si>
  <si>
    <t>Director de Planificación  y Desarrollo.</t>
  </si>
  <si>
    <t>Mediante el Programa Seguridad Vial Integral y Movilidad Sostenible se gestionan las actividades relacionadas con la seguridad vial que el INTRANT realiza por mandato de la LEY 63-17  dentro de las cuales se encuentran las siguiente: Capacitación a ciudadanos relacionadas con las normar y reglamentos en miras a modificar la conducta de los ciudadanos ante estas,  emisión de permisos de conducir y la realización inspección técnica vehicular; También el diseño, monitoreo y evaluación de  Planes, Programas y Proyectos relacionados con la movilidad y la sostenibilidad.</t>
  </si>
  <si>
    <t xml:space="preserve">Licdo. Waldys Robles </t>
  </si>
  <si>
    <t>6916-Prestadores de servicio reciben permisos de operación de transporte de  pasajeros.</t>
  </si>
  <si>
    <t>Programación Trimestral</t>
  </si>
  <si>
    <t>Ejecución Trimestral</t>
  </si>
  <si>
    <t>6917-Prestadores de servicio de transporte de pasajero reciben rótulos para sus vehículos</t>
  </si>
  <si>
    <t xml:space="preserve">6924-Mototaxistas regulados reciben capacitación en seguridad vial					
					</t>
  </si>
  <si>
    <t>6922-Conductores, Peatones y Usuarios de transporte masivo de pasajeros reciben educación vial</t>
  </si>
  <si>
    <t xml:space="preserve">6925-Instituciones públicas y operadores de transporte reciben diseños de corredores 					
					</t>
  </si>
  <si>
    <t xml:space="preserve">6927-Usuarios del sistema de transporte público de pasajeros cuentan con corredores integrados al servicio de la ciudadanía					
					</t>
  </si>
  <si>
    <t xml:space="preserve">6928-Alcaldías reciben asistencias técnicas en materia de movilidad y tránsito					
					</t>
  </si>
  <si>
    <t xml:space="preserve">6929-Alcaldías reciben Planes de Movilidad de sus respectivos Gobiernos Locales					
					</t>
  </si>
  <si>
    <r>
      <t xml:space="preserve"> </t>
    </r>
    <r>
      <rPr>
        <b/>
        <i/>
        <sz val="11"/>
        <color theme="1"/>
        <rFont val="Calibri"/>
        <family val="2"/>
        <scheme val="minor"/>
      </rPr>
      <t>Desvío Ejecución Física:</t>
    </r>
    <r>
      <rPr>
        <i/>
        <sz val="11"/>
        <color theme="1"/>
        <rFont val="Calibri"/>
        <family val="2"/>
        <scheme val="minor"/>
      </rPr>
      <t xml:space="preserve"> Este Servicio es a demanda de los operadores de servicios de transporte de pasajeros. La ejecución financiera: Esta relacionada con los servicios solicitados.           </t>
    </r>
  </si>
  <si>
    <r>
      <rPr>
        <b/>
        <i/>
        <sz val="11"/>
        <color theme="1"/>
        <rFont val="Calibri"/>
        <family val="2"/>
        <scheme val="minor"/>
      </rPr>
      <t xml:space="preserve">Desvío Ejecución Física: </t>
    </r>
    <r>
      <rPr>
        <i/>
        <sz val="11"/>
        <color theme="1"/>
        <rFont val="Calibri"/>
        <family val="2"/>
        <scheme val="minor"/>
      </rPr>
      <t xml:space="preserve">El no cumplimiento en la consecución de las metas físicas tal y como han sido planteadas, muy especialmente, lo concerniente a la emisión y rotulación de vehículos, no fue alcanzada  debido a que estos procesos dependen en gran manera, de las solicitudes de las empresas del transporte y al cumplimiento de los operadores con los requisitos para que le sean otorgadas las licencias de operaciones y los rótulos                                                   </t>
    </r>
  </si>
  <si>
    <t>En el presupuesto 2022  se proyectó la producción de 274 licencias de operaciones de transporte de pasajero; para el trimestre Abril-Junio  se programó 68 y se ejecutó en ese trimestre 39 , equivalente al 57.35% de lo programado. En lo que tiene que ver con la ejecución  financiera, para el trimestre se programó RD$ 200,000.00; este producto tuvo una ejecución financiera de un 32.55%</t>
  </si>
  <si>
    <t>En el presupuesto 2022  se proyectó la producción de 2,420 rotulaciones de vehículos de transporte de pasajero; para el trimestre abril-junio y ejecutó 68 equivalente al 2.81% de lo programado.</t>
  </si>
  <si>
    <t>6918-Prestadores de servicio reciben permisos de operación de transporte de carga.</t>
  </si>
  <si>
    <t xml:space="preserve">El Incremento de la ejecución física en cuanto el otorgamiento de permisos especiales de transporte de carga es debido a la Implementación de la Zona Restringida de Transporte de Carga                                                                </t>
  </si>
  <si>
    <t>En el presupuesto 2022  se proyectó la producción para el segundo trimestre de 9,555 permisos de operación de transporte de carga; en este periodo se  otorgaron 26,920 permisos equivalente al 281.74% de lo programado.</t>
  </si>
  <si>
    <t>Como informamos en el trimestre anterior hubo un cambio en la convocatoria de inducción-capacitación y tomamos la decisión de cambiar el formato, para que sean específicamente después de completar el censo por paradas. En este trimestre cubrimos las dos metas, las del primer y segundo trimestre.</t>
  </si>
  <si>
    <t>5879-Ciudadanos reciben licencia de conducir</t>
  </si>
  <si>
    <t>Para el segundo trimestre se proyectó capacitacion para 3,750 Mototaxistasy se efectuaron 5,780 equivalente al 154.13% de lo programado.</t>
  </si>
  <si>
    <t xml:space="preserve">Se Presupuestó la emisión de 143,000 licencias de conducir para segundo trimestre del año, y se alcanzó un total de 158, 467, lo que arroja un 110.82%. </t>
  </si>
  <si>
    <t>Se han disminuido las restricciones de la Pandemia y la implantación de nuevas tecnologías para otorgar los servicios de relacionados con las licencias de conducir; esto arrojó un incremento en la demanda y en consecuencia en los registros .</t>
  </si>
  <si>
    <t>6919-Conductores reciben inspección técnica vehicular</t>
  </si>
  <si>
    <t xml:space="preserve">	Se se ejecutó como fue programada .</t>
  </si>
  <si>
    <t xml:space="preserve">Se Programo 7,000 inspecciones técnica, y se realizaron un total de 7,158, lo que arroja un 102.26%. </t>
  </si>
  <si>
    <t>6920-Ciudadanos reciben campañas educativas de seguridad vial</t>
  </si>
  <si>
    <t>Gracias a la priorización de las que se ha recibido la Seguridad Vial y actividades relacionadas con el lanzamiento y socialización del PENSV del INTRANT se pudo realizar una serie de eventos con el apoyo de la sociedad civil y otras entidades gubernamentales, en tal sentido hubo un incremento significativo en comparación con lo programado para este trimestre.</t>
  </si>
  <si>
    <t xml:space="preserve">Se Programo una (1) campaña educativa de Seguridad Via, y se realizaron un total de 4 lo que arroja un aumento de un 400%. </t>
  </si>
  <si>
    <t>6921-Personas reciben eventos promocionales de la seguridad vial</t>
  </si>
  <si>
    <t xml:space="preserve">Se Programo un(1) evento de promocion de Seguridad Via, y se realizaron un total de 2 lo que arroja un aumento de un 200%. </t>
  </si>
  <si>
    <t>Se incluyeron Educación vial en semana con el apoyo de las escuelas de conducción a nivel nacional por lo que se ve el incremento significativo respecto a lo programado en este semestre.</t>
  </si>
  <si>
    <t>Se alcanzó impactar a un total de 69,689 personas en materia procurar cambiar sus creencias y conductas para mejorar la seguridad vial en general alcanzando un 464.59%</t>
  </si>
  <si>
    <t>6923-Población recibe cursos y talleres de educación y formación vial</t>
  </si>
  <si>
    <t xml:space="preserve">Se tomaron acciones para incrementar las acciones formativas dentro de las que podemos destacar alianzas con las escuelas formativas de conducción a nivel nacional y una campaña de educación vial a nivel nacional por lo que se ve el incremento significativo con respecto al trimestre anterior. </t>
  </si>
  <si>
    <t>Se alcanzó impactar a un total de 63,643 personas impactados por la capacitación sobre movilidad, transito, transporte y seguridad vial. en general alcanzando un 78.80% de lo programado</t>
  </si>
  <si>
    <t>Se adelantó la ejecución de este producto al primer trimestre de 2022 por este motivo se visualiza una ejecución de un 200% en ese trimestre y se implementó un nuevo corredor público el cual se refleja en la ejecución del 2do trimestre.</t>
  </si>
  <si>
    <t>Se realizó el e implemento el diseño de dos corredores para el SITP.</t>
  </si>
  <si>
    <t>Se programaron 2 corredores integrados al servicio de la ciudadanía para el segundo trimestre del año en curso y se ejecuto 1 alcanzando un 50% de lo programado para este periodo.</t>
  </si>
  <si>
    <t>Los Planes Locales de Movilidad se hacen a solicitud de los gobiernos locales y del Ministerio de la Presidencia. en función de estas solicitudes se realizan estas asistencias técnicas y se elaboran los diferentes Planes de Movilidad. Por otro lado, aunque se refleja ejecutado un plan de movilidad, se ha trabajado en la actualización e implementación de otros Planes</t>
  </si>
  <si>
    <t>Se programaron 5 asistencias técnicas en materia de movilidad y tránsito a alcaldias de las cuales se brindo 1 alcanzando un 20% de lo programado.</t>
  </si>
  <si>
    <t>Los Planes Locales de Movilidad se hacen a solicitud de los gobiernos locales y del Ministerio de la Presidencia. en función de estas solicitudes se realizan estas asistencias técnicas y se elaboran los diferentes Planes de Movilidad. Por otro lado, aunque se refleja ejecutado1 plan de movilidad, se ha trabajado en la actualización e implementación de otros Planes.</t>
  </si>
  <si>
    <t>Se implementaron un plna (1) de movilidad de los 2 programados para este trimestre, representando un 50% de lo planificado.</t>
  </si>
  <si>
    <t xml:space="preserve">Empresas Transportistas reciben Licencias de Operaciones de Transporte de Pasajeros </t>
  </si>
  <si>
    <t xml:space="preserve">	24,500,000.00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</si>
</sst>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  <numFmt numFmtId="168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8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0" xfId="0" applyNumberFormat="1" applyFont="1" applyProtection="1">
      <protection locked="0"/>
    </xf>
    <xf numFmtId="10" fontId="0" fillId="0" borderId="0" xfId="0" applyNumberFormat="1"/>
    <xf numFmtId="0" fontId="25" fillId="0" borderId="0" xfId="0" applyFont="1" applyProtection="1">
      <protection locked="0"/>
    </xf>
    <xf numFmtId="0" fontId="24" fillId="0" borderId="0" xfId="0" applyFont="1"/>
    <xf numFmtId="10" fontId="25" fillId="0" borderId="0" xfId="0" applyNumberFormat="1" applyFont="1" applyProtection="1">
      <protection locked="0"/>
    </xf>
    <xf numFmtId="0" fontId="26" fillId="0" borderId="17" xfId="0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17" xfId="0" applyBorder="1"/>
    <xf numFmtId="0" fontId="28" fillId="0" borderId="0" xfId="0" applyFont="1"/>
    <xf numFmtId="0" fontId="9" fillId="0" borderId="17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>
      <alignment vertical="top"/>
    </xf>
    <xf numFmtId="168" fontId="17" fillId="0" borderId="28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66" fontId="17" fillId="0" borderId="28" xfId="0" applyNumberFormat="1" applyFont="1" applyFill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3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22" xfId="0" applyFont="1" applyBorder="1" applyAlignment="1" applyProtection="1">
      <alignment horizontal="left" vertical="top" wrapText="1"/>
      <protection locked="0"/>
    </xf>
    <xf numFmtId="0" fontId="10" fillId="6" borderId="22" xfId="0" applyFont="1" applyFill="1" applyBorder="1" applyAlignment="1">
      <alignment horizontal="left" vertical="center" wrapText="1"/>
    </xf>
    <xf numFmtId="0" fontId="12" fillId="6" borderId="22" xfId="0" applyFont="1" applyFill="1" applyBorder="1" applyAlignment="1">
      <alignment horizontal="left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39" fontId="29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9" borderId="28" xfId="2" applyNumberFormat="1" applyFont="1" applyFill="1" applyBorder="1" applyAlignment="1" applyProtection="1">
      <alignment horizontal="center" vertical="center" wrapText="1" readingOrder="1"/>
    </xf>
    <xf numFmtId="10" fontId="11" fillId="9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vertical="top" wrapText="1"/>
      <protection locked="0"/>
    </xf>
    <xf numFmtId="3" fontId="22" fillId="0" borderId="0" xfId="0" applyNumberFormat="1" applyFont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0" fillId="0" borderId="36" xfId="0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0" xfId="0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30B84FB-D276-4D98-B266-076FBF338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84157A57-BA75-442E-836B-652D548F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7EF57868-7933-483D-9680-3F34E00B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39CF5E42-2DDD-4E1A-B7FF-A4DAA274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4EEB8DE6-1B9C-47DE-9F8E-941C5DE91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846934D7-4E5F-433E-B91E-0F244C25A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16EE867-5AD5-4B55-A10B-3F3A0FC08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BF233FB-80D8-4977-A822-418929C09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EFB50193-9B18-4762-AB8D-BC7303555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6CABD9FB-F12F-4EE9-BCF2-7968AA7CD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63DC1EE4-9DA9-49AF-8422-1543A1D5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A96776E2-C589-49E2-BD06-D83A94ADD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329F358C-3C1B-4956-933D-D5EC36EEA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D63DC3F3-E000-49A0-BA4B-1F692487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6" name="Tabla17" displayName="Tabla17" ref="A28:J30" totalsRowShown="0" headerRowDxfId="209" dataDxfId="207" headerRowBorderDxfId="208" tableBorderDxfId="206" totalsRowBorderDxfId="205">
  <tableColumns count="10">
    <tableColumn id="1" name="Producto" dataDxfId="204"/>
    <tableColumn id="2" name="Indicador" dataDxfId="203"/>
    <tableColumn id="3" name="Física_x000a_(A)" dataDxfId="202"/>
    <tableColumn id="4" name="Financiera_x000a_(B)" dataDxfId="201"/>
    <tableColumn id="9" name="Física_x000a_(C)" dataDxfId="200"/>
    <tableColumn id="10" name="Financiera_x000a_(D)" dataDxfId="199"/>
    <tableColumn id="5" name="Física _x000a_(E)" dataDxfId="198"/>
    <tableColumn id="6" name="Financiera _x000a_ (F)" dataDxfId="197"/>
    <tableColumn id="7" name="Física _x000a_(%)_x000a_ G=E/C" dataDxfId="196">
      <calculatedColumnFormula>+Tabla17[[#This Row],[Física 
(E)]]/Tabla17[[#This Row],[Física
(C)]]</calculatedColumnFormula>
    </tableColumn>
    <tableColumn id="8" name="Financiero _x000a_(%) _x000a_H=F/D" dataDxfId="195">
      <calculatedColumnFormula>+Tabla17[[#This Row],[Financiera 
 (F)]]/Tabla17[[#This Row],[Financiera
(D)]]</calculatedColumnFormula>
    </tableColumn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12" name="Tabla1345910111213" displayName="Tabla1345910111213" ref="A28:J30" totalsRowShown="0" headerRowDxfId="74" dataDxfId="72" headerRowBorderDxfId="73" tableBorderDxfId="71" totalsRowBorderDxfId="70">
  <tableColumns count="10">
    <tableColumn id="1" name="Producto" dataDxfId="69"/>
    <tableColumn id="2" name="Indicador" dataDxfId="68"/>
    <tableColumn id="3" name="Física_x000a_(A)" dataDxfId="67"/>
    <tableColumn id="4" name="Financiera_x000a_(B)" dataDxfId="66"/>
    <tableColumn id="9" name="Física_x000a_(C)" dataDxfId="65"/>
    <tableColumn id="10" name="Financiera_x000a_(D)" dataDxfId="64"/>
    <tableColumn id="5" name="Física _x000a_(E)" dataDxfId="63"/>
    <tableColumn id="6" name="Financiera _x000a_ (F)" dataDxfId="62"/>
    <tableColumn id="7" name="Física _x000a_(%)_x000a_ G=E/C" dataDxfId="61">
      <calculatedColumnFormula>+Tabla1345910111213[[#This Row],[Física 
(E)]]/Tabla1345910111213[[#This Row],[Física
(C)]]</calculatedColumnFormula>
    </tableColumn>
    <tableColumn id="8" name="Financiero _x000a_(%) _x000a_H=F/D" dataDxfId="60">
      <calculatedColumnFormula>+Tabla1345910111213[[#This Row],[Financiera 
 (F)]]/Tabla1345910111213[[#This Row],[Financiera
(D)]]</calculatedColumnFormula>
    </tableColumn>
  </tableColumns>
  <tableStyleInfo name="Estilo de tabla 1" showFirstColumn="0" showLastColumn="0" showRowStripes="1" showColumnStripes="0"/>
</table>
</file>

<file path=xl/tables/table11.xml><?xml version="1.0" encoding="utf-8"?>
<table xmlns="http://schemas.openxmlformats.org/spreadsheetml/2006/main" id="14" name="Tabla13459101112131415" displayName="Tabla13459101112131415" ref="A28:J30" totalsRowShown="0" headerRowDxfId="59" dataDxfId="57" headerRowBorderDxfId="58" tableBorderDxfId="56" totalsRowBorderDxfId="55">
  <tableColumns count="10">
    <tableColumn id="1" name="Producto" dataDxfId="54"/>
    <tableColumn id="2" name="Indicador" dataDxfId="53"/>
    <tableColumn id="3" name="Física_x000a_(A)" dataDxfId="52"/>
    <tableColumn id="4" name="Financiera_x000a_(B)" dataDxfId="51"/>
    <tableColumn id="9" name="Física_x000a_(C)" dataDxfId="50"/>
    <tableColumn id="10" name="Financiera_x000a_(D)" dataDxfId="49"/>
    <tableColumn id="5" name="Física _x000a_(E)" dataDxfId="48"/>
    <tableColumn id="6" name="Financiera _x000a_ (F)" dataDxfId="47"/>
    <tableColumn id="7" name="Física _x000a_(%)_x000a_ G=E/C" dataDxfId="46">
      <calculatedColumnFormula>+Tabla13459101112131415[[#This Row],[Física 
(E)]]/Tabla13459101112131415[[#This Row],[Física
(C)]]</calculatedColumnFormula>
    </tableColumn>
    <tableColumn id="8" name="Financiero _x000a_(%) _x000a_H=F/D" dataDxfId="45">
      <calculatedColumnFormula>+Tabla13459101112131415[[#This Row],[Financiera 
 (F)]]/Tabla13459101112131415[[#This Row],[Financiera
(D)]]</calculatedColumnFormula>
    </tableColumn>
  </tableColumns>
  <tableStyleInfo name="Estilo de tabla 1" showFirstColumn="0" showLastColumn="0" showRowStripes="1" showColumnStripes="0"/>
</table>
</file>

<file path=xl/tables/table12.xml><?xml version="1.0" encoding="utf-8"?>
<table xmlns="http://schemas.openxmlformats.org/spreadsheetml/2006/main" id="15" name="Tabla1345910111213141516" displayName="Tabla1345910111213141516" ref="A28:J30" totalsRowShown="0" headerRowDxfId="44" dataDxfId="42" headerRowBorderDxfId="43" tableBorderDxfId="41" totalsRowBorderDxfId="40">
  <tableColumns count="10">
    <tableColumn id="1" name="Producto" dataDxfId="39"/>
    <tableColumn id="2" name="Indicador" dataDxfId="38"/>
    <tableColumn id="3" name="Física_x000a_(A)" dataDxfId="37"/>
    <tableColumn id="4" name="Financiera_x000a_(B)" dataDxfId="36"/>
    <tableColumn id="9" name="Física_x000a_(C)" dataDxfId="35"/>
    <tableColumn id="10" name="Financiera_x000a_(D)" dataDxfId="34"/>
    <tableColumn id="5" name="Física _x000a_(E)" dataDxfId="33"/>
    <tableColumn id="6" name="Financiera _x000a_ (F)" dataDxfId="32"/>
    <tableColumn id="7" name="Física _x000a_(%)_x000a_ G=E/C" dataDxfId="31">
      <calculatedColumnFormula>+Tabla1345910111213141516[[#This Row],[Física 
(E)]]/Tabla1345910111213141516[[#This Row],[Física
(C)]]</calculatedColumnFormula>
    </tableColumn>
    <tableColumn id="8" name="Financiero _x000a_(%) _x000a_H=F/D" dataDxfId="30">
      <calculatedColumnFormula>+Tabla1345910111213141516[[#This Row],[Financiera 
 (F)]]/Tabla1345910111213141516[[#This Row],[Financiera
(D)]]</calculatedColumnFormula>
    </tableColumn>
  </tableColumns>
  <tableStyleInfo name="Estilo de tabla 1" showFirstColumn="0" showLastColumn="0" showRowStripes="1" showColumnStripes="0"/>
</table>
</file>

<file path=xl/tables/table13.xml><?xml version="1.0" encoding="utf-8"?>
<table xmlns="http://schemas.openxmlformats.org/spreadsheetml/2006/main" id="16" name="Tabla134591011121314151617" displayName="Tabla134591011121314151617" ref="A28:J30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/>
    <tableColumn id="4" name="Financiera_x000a_(B)" dataDxfId="21"/>
    <tableColumn id="9" name="Física_x000a_(C)" dataDxfId="20"/>
    <tableColumn id="10" name="Financiera_x000a_(D)" dataDxfId="19"/>
    <tableColumn id="5" name="Física _x000a_(E)" dataDxfId="18"/>
    <tableColumn id="6" name="Financiera _x000a_ (F)" dataDxfId="17"/>
    <tableColumn id="7" name="Física _x000a_(%)_x000a_ G=E/C" dataDxfId="16">
      <calculatedColumnFormula>+Tabla134591011121314151617[[#This Row],[Física 
(E)]]/Tabla134591011121314151617[[#This Row],[Física
(C)]]</calculatedColumnFormula>
    </tableColumn>
    <tableColumn id="8" name="Financiero _x000a_(%) _x000a_H=F/D" dataDxfId="15">
      <calculatedColumnFormula>+Tabla134591011121314151617[[#This Row],[Financiera 
 (F)]]/Tabla134591011121314151617[[#This Row],[Financiera
(D)]]</calculatedColumnFormula>
    </tableColumn>
  </tableColumns>
  <tableStyleInfo name="Estilo de tabla 1" showFirstColumn="0" showLastColumn="0" showRowStripes="1" showColumnStripes="0"/>
</table>
</file>

<file path=xl/tables/table14.xml><?xml version="1.0" encoding="utf-8"?>
<table xmlns="http://schemas.openxmlformats.org/spreadsheetml/2006/main" id="17" name="Tabla13459101112131415161718" displayName="Tabla13459101112131415161718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+Tabla13459101112131415161718[[#This Row],[Física 
(E)]]/Tabla13459101112131415161718[[#This Row],[Física
(C)]]</calculatedColumnFormula>
    </tableColumn>
    <tableColumn id="8" name="Financiero _x000a_(%) _x000a_H=F/D" dataDxfId="0">
      <calculatedColumnFormula>+Tabla13459101112131415161718[[#This Row],[Financiera 
 (F)]]/Tabla13459101112131415161718[[#This Row],[Financiera
(D)]]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5" name="Tabla176" displayName="Tabla176" ref="A28:J30" totalsRowShown="0" headerRowDxfId="194" dataDxfId="192" headerRowBorderDxfId="193" tableBorderDxfId="191" totalsRowBorderDxfId="190">
  <tableColumns count="10">
    <tableColumn id="1" name="Producto" dataDxfId="189"/>
    <tableColumn id="2" name="Indicador" dataDxfId="188"/>
    <tableColumn id="3" name="Física_x000a_(A)" dataDxfId="187"/>
    <tableColumn id="4" name="Financiera_x000a_(B)" dataDxfId="186"/>
    <tableColumn id="9" name="Física_x000a_(C)" dataDxfId="185"/>
    <tableColumn id="10" name="Financiera_x000a_(D)" dataDxfId="184"/>
    <tableColumn id="5" name="Física _x000a_(E)" dataDxfId="183"/>
    <tableColumn id="6" name="Financiera _x000a_ (F)" dataDxfId="182"/>
    <tableColumn id="7" name="Física _x000a_(%)_x000a_ G=E/C" dataDxfId="181">
      <calculatedColumnFormula>+Tabla176[[#This Row],[Física 
(E)]]/Tabla176[[#This Row],[Física
(C)]]</calculatedColumnFormula>
    </tableColumn>
    <tableColumn id="8" name="Financiero _x000a_(%) _x000a_H=F/D" dataDxfId="180">
      <calculatedColumnFormula>+Tabla176[[#This Row],[Financiera 
 (F)]]/Tabla176[[#This Row],[Financiera
(D)]]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7" name="Tabla18" displayName="Tabla18" ref="A28:J30" totalsRowShown="0" headerRowDxfId="179" dataDxfId="177" headerRowBorderDxfId="178" tableBorderDxfId="176" totalsRowBorderDxfId="175">
  <tableColumns count="10">
    <tableColumn id="1" name="Producto" dataDxfId="174"/>
    <tableColumn id="2" name="Indicador" dataDxfId="173"/>
    <tableColumn id="3" name="Física_x000a_(A)" dataDxfId="172"/>
    <tableColumn id="4" name="Financiera_x000a_(B)" dataDxfId="171"/>
    <tableColumn id="9" name="Física_x000a_(C)" dataDxfId="170"/>
    <tableColumn id="10" name="Financiera_x000a_(D)" dataDxfId="169"/>
    <tableColumn id="5" name="Física _x000a_(E)" dataDxfId="168"/>
    <tableColumn id="6" name="Financiera _x000a_ (F)" dataDxfId="167"/>
    <tableColumn id="7" name="Física _x000a_(%)_x000a_ G=E/C" dataDxfId="166">
      <calculatedColumnFormula>IF(G29&gt;0,G29/C29,0)</calculatedColumnFormula>
    </tableColumn>
    <tableColumn id="8" name="Financiero _x000a_(%) _x000a_H=F/D" dataDxfId="165">
      <calculatedColumnFormula>IF(#REF!&gt;0,#REF!/D29,0)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13" name="Tabla134591011121314" displayName="Tabla134591011121314" ref="A28:J30" totalsRowShown="0" headerRowDxfId="164" dataDxfId="162" headerRowBorderDxfId="163" tableBorderDxfId="161" totalsRowBorderDxfId="160">
  <tableColumns count="10">
    <tableColumn id="1" name="Producto" dataDxfId="159"/>
    <tableColumn id="2" name="Indicador" dataDxfId="158"/>
    <tableColumn id="3" name="Física_x000a_(A)" dataDxfId="157"/>
    <tableColumn id="4" name="Financiera_x000a_(B)" dataDxfId="156"/>
    <tableColumn id="9" name="Física_x000a_(C)" dataDxfId="155"/>
    <tableColumn id="10" name="Financiera_x000a_(D)" dataDxfId="154"/>
    <tableColumn id="5" name="Física _x000a_(E)" dataDxfId="153"/>
    <tableColumn id="6" name="Financiera _x000a_ (F)" dataDxfId="152"/>
    <tableColumn id="7" name="Física _x000a_(%)_x000a_ G=E/C" dataDxfId="151">
      <calculatedColumnFormula>+Tabla134591011121314[[#This Row],[Física 
(E)]]/Tabla134591011121314[[#This Row],[Física
(C)]]</calculatedColumnFormula>
    </tableColumn>
    <tableColumn id="8" name="Financiero _x000a_(%) _x000a_H=F/D" dataDxfId="150">
      <calculatedColumnFormula>+Tabla134591011121314[[#This Row],[Financiera 
 (F)]]/Tabla134591011121314[[#This Row],[Financiera
(D)]]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4" name="Tabla1345" displayName="Tabla1345" ref="A28:J30" totalsRowShown="0" headerRowDxfId="149" dataDxfId="147" headerRowBorderDxfId="148" tableBorderDxfId="146" totalsRowBorderDxfId="145">
  <tableColumns count="10">
    <tableColumn id="1" name="Producto" dataDxfId="144"/>
    <tableColumn id="2" name="Indicador" dataDxfId="143"/>
    <tableColumn id="3" name="Física_x000a_(A)" dataDxfId="142"/>
    <tableColumn id="4" name="Financiera_x000a_(B)" dataDxfId="141"/>
    <tableColumn id="9" name="Física_x000a_(C)" dataDxfId="140"/>
    <tableColumn id="10" name="Financiera_x000a_(D)" dataDxfId="139"/>
    <tableColumn id="5" name="Física _x000a_(E)" dataDxfId="138"/>
    <tableColumn id="6" name="Financiera _x000a_ (F)" dataDxfId="137"/>
    <tableColumn id="7" name="Física _x000a_(%)_x000a_ G=E/C" dataDxfId="136">
      <calculatedColumnFormula>+Tabla1345[[#This Row],[Física 
(E)]]/Tabla1345[[#This Row],[Física
(C)]]</calculatedColumnFormula>
    </tableColumn>
    <tableColumn id="8" name="Financiero _x000a_(%) _x000a_H=F/D" dataDxfId="135">
      <calculatedColumnFormula>+Tabla1345[[#This Row],[Financiera 
 (F)]]/Tabla1345[[#This Row],[Financiera
(D)]]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8" name="Tabla13459" displayName="Tabla13459" ref="A28:J30" totalsRowShown="0" headerRowDxfId="134" dataDxfId="132" headerRowBorderDxfId="133" tableBorderDxfId="131" totalsRowBorderDxfId="130">
  <tableColumns count="10">
    <tableColumn id="1" name="Producto" dataDxfId="129"/>
    <tableColumn id="2" name="Indicador" dataDxfId="128"/>
    <tableColumn id="3" name="Física_x000a_(A)" dataDxfId="127"/>
    <tableColumn id="4" name="Financiera_x000a_(B)" dataDxfId="126"/>
    <tableColumn id="9" name="Física_x000a_(C)" dataDxfId="125"/>
    <tableColumn id="10" name="Financiera_x000a_(D)" dataDxfId="124"/>
    <tableColumn id="5" name="Física _x000a_(E)" dataDxfId="123"/>
    <tableColumn id="6" name="Financiera _x000a_ (F)" dataDxfId="122"/>
    <tableColumn id="7" name="Física _x000a_(%)_x000a_ G=E/C" dataDxfId="121">
      <calculatedColumnFormula>+Tabla13459[[#This Row],[Física 
(E)]]/Tabla13459[[#This Row],[Física
(C)]]</calculatedColumnFormula>
    </tableColumn>
    <tableColumn id="8" name="Financiero _x000a_(%) _x000a_H=F/D" dataDxfId="120">
      <calculatedColumnFormula>+Tabla13459[[#This Row],[Financiera 
 (F)]]/Tabla13459[[#This Row],[Financiera
(D)]]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9" name="Tabla1345910" displayName="Tabla1345910" ref="A28:J30" totalsRowShown="0" headerRowDxfId="119" dataDxfId="117" headerRowBorderDxfId="118" tableBorderDxfId="116" totalsRowBorderDxfId="115">
  <tableColumns count="10">
    <tableColumn id="1" name="Producto" dataDxfId="114"/>
    <tableColumn id="2" name="Indicador" dataDxfId="113"/>
    <tableColumn id="3" name="Física_x000a_(A)" dataDxfId="112"/>
    <tableColumn id="4" name="Financiera_x000a_(B)" dataDxfId="111"/>
    <tableColumn id="9" name="Física_x000a_(C)" dataDxfId="110"/>
    <tableColumn id="10" name="Financiera_x000a_(D)" dataDxfId="109"/>
    <tableColumn id="5" name="Física _x000a_(E)" dataDxfId="108"/>
    <tableColumn id="6" name="Financiera _x000a_ (F)" dataDxfId="107"/>
    <tableColumn id="7" name="Física _x000a_(%)_x000a_ G=E/C" dataDxfId="106">
      <calculatedColumnFormula>+Tabla1345910[[#This Row],[Física 
(E)]]/Tabla1345910[[#This Row],[Física
(C)]]</calculatedColumnFormula>
    </tableColumn>
    <tableColumn id="8" name="Financiero _x000a_(%) _x000a_H=F/D" dataDxfId="105">
      <calculatedColumnFormula>+Tabla1345910[[#This Row],[Financiera 
 (F)]]/Tabla1345910[[#This Row],[Financiera
(D)]]</calculatedColumnFormula>
    </tableColumn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10" name="Tabla134591011" displayName="Tabla134591011" ref="A28:J30" totalsRowShown="0" headerRowDxfId="104" dataDxfId="102" headerRowBorderDxfId="103" tableBorderDxfId="101" totalsRowBorderDxfId="100">
  <tableColumns count="10">
    <tableColumn id="1" name="Producto" dataDxfId="99"/>
    <tableColumn id="2" name="Indicador" dataDxfId="98"/>
    <tableColumn id="3" name="Física_x000a_(A)" dataDxfId="97"/>
    <tableColumn id="4" name="Financiera_x000a_(B)" dataDxfId="96"/>
    <tableColumn id="9" name="Física_x000a_(C)" dataDxfId="95"/>
    <tableColumn id="10" name="Financiera_x000a_(D)" dataDxfId="94"/>
    <tableColumn id="5" name="Física _x000a_(E)" dataDxfId="93"/>
    <tableColumn id="6" name="Financiera _x000a_ (F)" dataDxfId="92"/>
    <tableColumn id="7" name="Física _x000a_(%)_x000a_ G=E/C" dataDxfId="91">
      <calculatedColumnFormula>+Tabla134591011[[#This Row],[Física 
(E)]]/Tabla134591011[[#This Row],[Física
(C)]]</calculatedColumnFormula>
    </tableColumn>
    <tableColumn id="8" name="Financiero _x000a_(%) _x000a_H=F/D" dataDxfId="90">
      <calculatedColumnFormula>+Tabla134591011[[#This Row],[Financiera 
 (F)]]/Tabla134591011[[#This Row],[Financiera
(D)]]</calculatedColumnFormula>
    </tableColumn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11" name="Tabla13459101112" displayName="Tabla13459101112" ref="A28:J30" totalsRowShown="0" headerRowDxfId="89" dataDxfId="87" headerRowBorderDxfId="88" tableBorderDxfId="86" totalsRowBorderDxfId="85">
  <tableColumns count="10">
    <tableColumn id="1" name="Producto" dataDxfId="84"/>
    <tableColumn id="2" name="Indicador" dataDxfId="83"/>
    <tableColumn id="3" name="Física_x000a_(A)" dataDxfId="82"/>
    <tableColumn id="4" name="Financiera_x000a_(B)" dataDxfId="81"/>
    <tableColumn id="9" name="Física_x000a_(C)" dataDxfId="80"/>
    <tableColumn id="10" name="Financiera_x000a_(D)" dataDxfId="79"/>
    <tableColumn id="5" name="Física _x000a_(E)" dataDxfId="78"/>
    <tableColumn id="6" name="Financiera _x000a_ (F)" dataDxfId="77"/>
    <tableColumn id="7" name="Física _x000a_(%)_x000a_ G=E/C" dataDxfId="76">
      <calculatedColumnFormula>+Tabla13459101112[[#This Row],[Física 
(E)]]/Tabla13459101112[[#This Row],[Física
(C)]]</calculatedColumnFormula>
    </tableColumn>
    <tableColumn id="8" name="Financiero _x000a_(%) _x000a_H=F/D" dataDxfId="75">
      <calculatedColumnFormula>+Tabla13459101112[[#This Row],[Financiera 
 (F)]]/Tabla13459101112[[#This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tabSelected="1" zoomScale="145" zoomScaleNormal="145" zoomScaleSheetLayoutView="130" zoomScalePageLayoutView="85" workbookViewId="0">
      <selection activeCell="M14" sqref="M14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30" customHeight="1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31.5" customHeight="1" x14ac:dyDescent="0.25">
      <c r="A11" s="4" t="s">
        <v>7</v>
      </c>
      <c r="B11" s="85" t="s">
        <v>59</v>
      </c>
      <c r="C11" s="85"/>
      <c r="D11" s="85"/>
      <c r="E11" s="85"/>
      <c r="F11" s="85"/>
      <c r="G11" s="85"/>
      <c r="H11" s="85"/>
      <c r="I11" s="85"/>
      <c r="J11" s="85"/>
    </row>
    <row r="12" spans="1:11" ht="41.25" customHeight="1" x14ac:dyDescent="0.25">
      <c r="A12" s="4" t="s">
        <v>8</v>
      </c>
      <c r="B12" s="85" t="s">
        <v>50</v>
      </c>
      <c r="C12" s="85"/>
      <c r="D12" s="85"/>
      <c r="E12" s="85"/>
      <c r="F12" s="85"/>
      <c r="G12" s="85"/>
      <c r="H12" s="85"/>
      <c r="I12" s="85"/>
      <c r="J12" s="85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1.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1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1" ht="29.25" customHeight="1" x14ac:dyDescent="0.25">
      <c r="A18" s="4" t="s">
        <v>14</v>
      </c>
      <c r="B18" s="88" t="s">
        <v>94</v>
      </c>
      <c r="C18" s="88"/>
      <c r="D18" s="88"/>
      <c r="E18" s="88"/>
      <c r="F18" s="88"/>
      <c r="G18" s="88"/>
      <c r="H18" s="88"/>
      <c r="I18" s="88"/>
      <c r="J18" s="89"/>
    </row>
    <row r="19" spans="1:11" ht="54" customHeight="1" x14ac:dyDescent="0.25">
      <c r="A19" s="9" t="s">
        <v>15</v>
      </c>
      <c r="B19" s="88" t="s">
        <v>58</v>
      </c>
      <c r="C19" s="88"/>
      <c r="D19" s="88"/>
      <c r="E19" s="88"/>
      <c r="F19" s="88"/>
      <c r="G19" s="88"/>
      <c r="H19" s="88"/>
      <c r="I19" s="88"/>
      <c r="J19" s="89"/>
    </row>
    <row r="20" spans="1:11" ht="34.5" customHeight="1" x14ac:dyDescent="0.25">
      <c r="A20" s="9" t="s">
        <v>16</v>
      </c>
      <c r="B20" s="88" t="s">
        <v>63</v>
      </c>
      <c r="C20" s="88"/>
      <c r="D20" s="88"/>
      <c r="E20" s="88"/>
      <c r="F20" s="88"/>
      <c r="G20" s="88"/>
      <c r="H20" s="88"/>
      <c r="I20" s="88"/>
      <c r="J20" s="89"/>
    </row>
    <row r="21" spans="1:11" ht="35.25" customHeight="1" x14ac:dyDescent="0.25">
      <c r="A21" s="9" t="s">
        <v>37</v>
      </c>
      <c r="B21" s="88"/>
      <c r="C21" s="88"/>
      <c r="D21" s="88"/>
      <c r="E21" s="88"/>
      <c r="F21" s="88"/>
      <c r="G21" s="88"/>
      <c r="H21" s="88"/>
      <c r="I21" s="88"/>
      <c r="J21" s="89"/>
      <c r="K21" s="1"/>
    </row>
    <row r="22" spans="1:11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1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1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1" s="39" customFormat="1" x14ac:dyDescent="0.25">
      <c r="A25" s="95" t="s">
        <v>148</v>
      </c>
      <c r="B25" s="96"/>
      <c r="C25" s="95">
        <v>24500000</v>
      </c>
      <c r="D25" s="96"/>
      <c r="E25" s="97"/>
      <c r="F25" s="95">
        <v>624700</v>
      </c>
      <c r="G25" s="96"/>
      <c r="H25" s="97"/>
      <c r="I25" s="98">
        <f>+F25/C25</f>
        <v>2.5497959183673469E-2</v>
      </c>
      <c r="J25" s="99"/>
      <c r="K25" s="38"/>
    </row>
    <row r="26" spans="1:11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1.5" customHeight="1" x14ac:dyDescent="0.25">
      <c r="A29" s="13" t="s">
        <v>105</v>
      </c>
      <c r="B29" s="14" t="s">
        <v>61</v>
      </c>
      <c r="C29" s="33">
        <v>274</v>
      </c>
      <c r="D29" s="15">
        <v>500000</v>
      </c>
      <c r="E29" s="15">
        <v>68</v>
      </c>
      <c r="F29" s="15">
        <v>200000</v>
      </c>
      <c r="G29" s="16">
        <v>39</v>
      </c>
      <c r="H29" s="35">
        <v>65100</v>
      </c>
      <c r="I29" s="17">
        <f>+Tabla17[[#This Row],[Física 
(E)]]/Tabla17[[#This Row],[Física
(C)]]</f>
        <v>0.57352941176470584</v>
      </c>
      <c r="J29" s="18">
        <f>+Tabla17[[#This Row],[Financiera 
 (F)]]/Tabla17[[#This Row],[Financiera
(D)]]</f>
        <v>0.32550000000000001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+Tabla17[[#This Row],[Física 
(E)]]/Tabla17[[#This Row],[Física
(C)]]</f>
        <v>#DIV/0!</v>
      </c>
      <c r="J30" s="18" t="e">
        <f>+Tabla17[[#This Row],[Financiera 
 (F)]]/Tabla17[[#This Row],[Financiera
(D)]]</f>
        <v>#DIV/0!</v>
      </c>
    </row>
    <row r="31" spans="1:11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1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147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62</v>
      </c>
      <c r="C34" s="88"/>
      <c r="D34" s="88"/>
      <c r="E34" s="88"/>
      <c r="F34" s="88"/>
      <c r="G34" s="88"/>
      <c r="H34" s="88"/>
      <c r="I34" s="88"/>
      <c r="J34" s="89"/>
    </row>
    <row r="35" spans="1:11" ht="80.25" customHeight="1" x14ac:dyDescent="0.25">
      <c r="A35" s="24" t="s">
        <v>31</v>
      </c>
      <c r="B35" s="88" t="s">
        <v>117</v>
      </c>
      <c r="C35" s="88"/>
      <c r="D35" s="88"/>
      <c r="E35" s="88"/>
      <c r="F35" s="88"/>
      <c r="G35" s="88"/>
      <c r="H35" s="88"/>
      <c r="I35" s="88"/>
      <c r="J35" s="89"/>
    </row>
    <row r="36" spans="1:11" ht="82.5" customHeight="1" x14ac:dyDescent="0.25">
      <c r="A36" s="24" t="s">
        <v>32</v>
      </c>
      <c r="B36" s="88" t="s">
        <v>115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 t="s">
        <v>40</v>
      </c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view="pageBreakPreview" topLeftCell="A23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27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120" x14ac:dyDescent="0.25">
      <c r="A29" s="13" t="s">
        <v>137</v>
      </c>
      <c r="B29" s="14" t="s">
        <v>76</v>
      </c>
      <c r="C29" s="34">
        <v>317644</v>
      </c>
      <c r="D29" s="15">
        <v>500000</v>
      </c>
      <c r="E29" s="15">
        <v>80000</v>
      </c>
      <c r="F29" s="15">
        <v>200000</v>
      </c>
      <c r="G29" s="16">
        <v>63843</v>
      </c>
      <c r="H29" s="35">
        <v>499600</v>
      </c>
      <c r="I29" s="17">
        <f>+Tabla1345910111213[[#This Row],[Física 
(E)]]/Tabla1345910111213[[#This Row],[Física
(C)]]</f>
        <v>0.79803749999999996</v>
      </c>
      <c r="J29" s="18">
        <f>+Tabla1345910111213[[#This Row],[Financiera 
 (F)]]/Tabla1345910111213[[#This Row],[Financiera
(D)]]</f>
        <v>2.4980000000000002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+Tabla1345910111213[[#This Row],[Física 
(E)]]/Tabla1345910111213[[#This Row],[Física
(C)]]</f>
        <v>#DIV/0!</v>
      </c>
      <c r="J30" s="18" t="e">
        <f>+Tabla1345910111213[[#This Row],[Financiera 
 (F)]]/Tabla1345910111213[[#This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99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77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139</v>
      </c>
      <c r="C35" s="88"/>
      <c r="D35" s="88"/>
      <c r="E35" s="88"/>
      <c r="F35" s="88"/>
      <c r="G35" s="88"/>
      <c r="H35" s="88"/>
      <c r="I35" s="88"/>
      <c r="J35" s="89"/>
    </row>
    <row r="36" spans="1:11" ht="30" x14ac:dyDescent="0.25">
      <c r="A36" s="41" t="s">
        <v>32</v>
      </c>
      <c r="B36" s="118" t="s">
        <v>138</v>
      </c>
      <c r="C36" s="118"/>
      <c r="D36" s="118"/>
      <c r="E36" s="118"/>
      <c r="F36" s="118"/>
      <c r="G36" s="118"/>
      <c r="H36" s="118"/>
      <c r="I36" s="118"/>
      <c r="J36" s="11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4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view="pageBreakPreview" topLeftCell="A22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1.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72" x14ac:dyDescent="0.25">
      <c r="A29" s="13" t="s">
        <v>111</v>
      </c>
      <c r="B29" s="14" t="s">
        <v>82</v>
      </c>
      <c r="C29" s="34">
        <v>4</v>
      </c>
      <c r="D29" s="15">
        <v>500000</v>
      </c>
      <c r="E29" s="15">
        <v>1</v>
      </c>
      <c r="F29" s="15">
        <v>200000</v>
      </c>
      <c r="G29" s="16">
        <v>1</v>
      </c>
      <c r="H29" s="35">
        <v>489050</v>
      </c>
      <c r="I29" s="17">
        <f>+Tabla13459101112131415[[#This Row],[Física 
(E)]]/Tabla13459101112131415[[#This Row],[Física
(C)]]</f>
        <v>1</v>
      </c>
      <c r="J29" s="18">
        <f>+Tabla13459101112131415[[#This Row],[Financiera 
 (F)]]/Tabla13459101112131415[[#This Row],[Financiera
(D)]]</f>
        <v>2.4452500000000001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+Tabla13459101112131415[[#This Row],[Física 
(E)]]/Tabla13459101112131415[[#This Row],[Física
(C)]]</f>
        <v>#DIV/0!</v>
      </c>
      <c r="J30" s="18" t="e">
        <f>+Tabla13459101112131415[[#This Row],[Financiera 
 (F)]]/Tabla13459101112131415[[#This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83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81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141</v>
      </c>
      <c r="C35" s="88"/>
      <c r="D35" s="88"/>
      <c r="E35" s="88"/>
      <c r="F35" s="88"/>
      <c r="G35" s="88"/>
      <c r="H35" s="88"/>
      <c r="I35" s="88"/>
      <c r="J35" s="89"/>
    </row>
    <row r="36" spans="1:11" ht="46.5" customHeight="1" x14ac:dyDescent="0.25">
      <c r="A36" s="41" t="s">
        <v>32</v>
      </c>
      <c r="B36" s="118" t="s">
        <v>140</v>
      </c>
      <c r="C36" s="118"/>
      <c r="D36" s="118"/>
      <c r="E36" s="118"/>
      <c r="F36" s="118"/>
      <c r="G36" s="118"/>
      <c r="H36" s="118"/>
      <c r="I36" s="118"/>
      <c r="J36" s="11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0"/>
  <sheetViews>
    <sheetView view="pageBreakPreview" topLeftCell="A22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1.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s="57" customFormat="1" ht="96" x14ac:dyDescent="0.25">
      <c r="A29" s="53" t="s">
        <v>112</v>
      </c>
      <c r="B29" s="54" t="s">
        <v>84</v>
      </c>
      <c r="C29" s="48">
        <v>4</v>
      </c>
      <c r="D29" s="49">
        <v>500000</v>
      </c>
      <c r="E29" s="49">
        <v>2</v>
      </c>
      <c r="F29" s="49">
        <v>200000</v>
      </c>
      <c r="G29" s="16">
        <v>1</v>
      </c>
      <c r="H29" s="50">
        <v>0</v>
      </c>
      <c r="I29" s="51">
        <f>+Tabla1345910111213141516[[#This Row],[Física 
(E)]]/Tabla1345910111213141516[[#This Row],[Física
(C)]]</f>
        <v>0.5</v>
      </c>
      <c r="J29" s="52">
        <f>+Tabla1345910111213141516[[#This Row],[Financiera 
 (F)]]/Tabla1345910111213141516[[#This Row],[Financiera
(D)]]</f>
        <v>0</v>
      </c>
      <c r="K29" s="55"/>
      <c r="L29" s="56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+Tabla1345910111213141516[[#This Row],[Física 
(E)]]/Tabla1345910111213141516[[#This Row],[Física
(C)]]</f>
        <v>#DIV/0!</v>
      </c>
      <c r="J30" s="18" t="e">
        <f>+Tabla1345910111213141516[[#This Row],[Financiera 
 (F)]]/Tabla1345910111213141516[[#This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85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86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142</v>
      </c>
      <c r="C35" s="88"/>
      <c r="D35" s="88"/>
      <c r="E35" s="88"/>
      <c r="F35" s="88"/>
      <c r="G35" s="88"/>
      <c r="H35" s="88"/>
      <c r="I35" s="88"/>
      <c r="J35" s="89"/>
    </row>
    <row r="36" spans="1:11" ht="46.5" customHeight="1" x14ac:dyDescent="0.25">
      <c r="A36" s="41" t="s">
        <v>32</v>
      </c>
      <c r="B36" s="118" t="s">
        <v>140</v>
      </c>
      <c r="C36" s="118"/>
      <c r="D36" s="118"/>
      <c r="E36" s="118"/>
      <c r="F36" s="118"/>
      <c r="G36" s="118"/>
      <c r="H36" s="118"/>
      <c r="I36" s="118"/>
      <c r="J36" s="11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30.75" customHeight="1" x14ac:dyDescent="0.25">
      <c r="A40" s="109" t="s">
        <v>41</v>
      </c>
      <c r="B40" s="109"/>
      <c r="C40" s="109"/>
      <c r="D40" s="109"/>
      <c r="E40" s="109"/>
      <c r="F40" s="109"/>
      <c r="G40" s="109"/>
      <c r="H40" s="109"/>
      <c r="I40" s="109"/>
      <c r="J40" s="109"/>
    </row>
  </sheetData>
  <mergeCells count="48">
    <mergeCell ref="A38:J38"/>
    <mergeCell ref="A39:J39"/>
    <mergeCell ref="A40:J40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39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0"/>
  <sheetViews>
    <sheetView view="pageBreakPreview" topLeftCell="A22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  <col min="12" max="16384" width="11.42578125" style="42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6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44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36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43"/>
      <c r="B27" s="42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96" x14ac:dyDescent="0.25">
      <c r="A29" s="13" t="s">
        <v>113</v>
      </c>
      <c r="B29" s="14" t="s">
        <v>100</v>
      </c>
      <c r="C29" s="34">
        <v>20</v>
      </c>
      <c r="D29" s="15">
        <v>500000</v>
      </c>
      <c r="E29" s="15">
        <v>5</v>
      </c>
      <c r="F29" s="15">
        <v>200000</v>
      </c>
      <c r="G29" s="16">
        <v>1</v>
      </c>
      <c r="H29" s="35">
        <v>0</v>
      </c>
      <c r="I29" s="17">
        <f>+Tabla134591011121314151617[[#This Row],[Física 
(E)]]/Tabla134591011121314151617[[#This Row],[Física
(C)]]</f>
        <v>0.2</v>
      </c>
      <c r="J29" s="18">
        <f>+Tabla134591011121314151617[[#This Row],[Financiera 
 (F)]]/Tabla134591011121314151617[[#This Row],[Financiera
(D)]]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+Tabla134591011121314151617[[#This Row],[Física 
(E)]]/Tabla134591011121314151617[[#This Row],[Física
(C)]]</f>
        <v>#DIV/0!</v>
      </c>
      <c r="J30" s="18" t="e">
        <f>+Tabla134591011121314151617[[#This Row],[Financiera 
 (F)]]/Tabla134591011121314151617[[#This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87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88</v>
      </c>
      <c r="C34" s="88"/>
      <c r="D34" s="88"/>
      <c r="E34" s="88"/>
      <c r="F34" s="88"/>
      <c r="G34" s="88"/>
      <c r="H34" s="88"/>
      <c r="I34" s="88"/>
      <c r="J34" s="89"/>
    </row>
    <row r="35" spans="1:11" ht="58.5" customHeight="1" x14ac:dyDescent="0.25">
      <c r="A35" s="24" t="s">
        <v>31</v>
      </c>
      <c r="B35" s="88" t="s">
        <v>144</v>
      </c>
      <c r="C35" s="88"/>
      <c r="D35" s="88"/>
      <c r="E35" s="88"/>
      <c r="F35" s="88"/>
      <c r="G35" s="88"/>
      <c r="H35" s="88"/>
      <c r="I35" s="88"/>
      <c r="J35" s="89"/>
    </row>
    <row r="36" spans="1:11" ht="46.5" customHeight="1" x14ac:dyDescent="0.25">
      <c r="A36" s="41" t="s">
        <v>32</v>
      </c>
      <c r="B36" s="118" t="s">
        <v>143</v>
      </c>
      <c r="C36" s="118"/>
      <c r="D36" s="118"/>
      <c r="E36" s="118"/>
      <c r="F36" s="118"/>
      <c r="G36" s="118"/>
      <c r="H36" s="118"/>
      <c r="I36" s="118"/>
      <c r="J36" s="11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30.75" customHeight="1" x14ac:dyDescent="0.25">
      <c r="A40" s="109" t="s">
        <v>41</v>
      </c>
      <c r="B40" s="109"/>
      <c r="C40" s="109"/>
      <c r="D40" s="109"/>
      <c r="E40" s="109"/>
      <c r="F40" s="109"/>
      <c r="G40" s="109"/>
      <c r="H40" s="109"/>
      <c r="I40" s="109"/>
      <c r="J40" s="109"/>
    </row>
  </sheetData>
  <mergeCells count="48">
    <mergeCell ref="A38:J38"/>
    <mergeCell ref="A39:J39"/>
    <mergeCell ref="A40:J40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39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4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view="pageBreakPreview" topLeftCell="A13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  <col min="12" max="16384" width="11.42578125" style="42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27.7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44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36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43"/>
      <c r="B27" s="42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84" x14ac:dyDescent="0.25">
      <c r="A29" s="13" t="s">
        <v>114</v>
      </c>
      <c r="B29" s="14" t="s">
        <v>90</v>
      </c>
      <c r="C29" s="34">
        <v>8</v>
      </c>
      <c r="D29" s="15">
        <v>500000</v>
      </c>
      <c r="E29" s="15">
        <v>2</v>
      </c>
      <c r="F29" s="15">
        <v>200000</v>
      </c>
      <c r="G29" s="16">
        <v>1</v>
      </c>
      <c r="H29" s="35">
        <v>0</v>
      </c>
      <c r="I29" s="17">
        <f>+Tabla13459101112131415161718[[#This Row],[Física 
(E)]]/Tabla13459101112131415161718[[#This Row],[Física
(C)]]</f>
        <v>0.5</v>
      </c>
      <c r="J29" s="18">
        <f>+Tabla13459101112131415161718[[#This Row],[Financiera 
 (F)]]/Tabla13459101112131415161718[[#This Row],[Financiera
(D)]]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+Tabla13459101112131415161718[[#This Row],[Física 
(E)]]/Tabla13459101112131415161718[[#This Row],[Física
(C)]]</f>
        <v>#DIV/0!</v>
      </c>
      <c r="J30" s="18" t="e">
        <f>+Tabla13459101112131415161718[[#This Row],[Financiera 
 (F)]]/Tabla13459101112131415161718[[#This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87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89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146</v>
      </c>
      <c r="C35" s="88"/>
      <c r="D35" s="88"/>
      <c r="E35" s="88"/>
      <c r="F35" s="88"/>
      <c r="G35" s="88"/>
      <c r="H35" s="88"/>
      <c r="I35" s="88"/>
      <c r="J35" s="89"/>
    </row>
    <row r="36" spans="1:11" ht="46.5" customHeight="1" x14ac:dyDescent="0.25">
      <c r="A36" s="41" t="s">
        <v>32</v>
      </c>
      <c r="B36" s="118" t="s">
        <v>145</v>
      </c>
      <c r="C36" s="118"/>
      <c r="D36" s="118"/>
      <c r="E36" s="118"/>
      <c r="F36" s="118"/>
      <c r="G36" s="118"/>
      <c r="H36" s="118"/>
      <c r="I36" s="118"/>
      <c r="J36" s="11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6:D28"/>
  <sheetViews>
    <sheetView topLeftCell="A19" workbookViewId="0">
      <selection activeCell="B28" sqref="B28:D28"/>
    </sheetView>
  </sheetViews>
  <sheetFormatPr baseColWidth="10" defaultColWidth="11.42578125" defaultRowHeight="15" x14ac:dyDescent="0.25"/>
  <sheetData>
    <row r="26" spans="2:4" x14ac:dyDescent="0.25">
      <c r="B26" s="120"/>
      <c r="C26" s="120"/>
      <c r="D26" s="120"/>
    </row>
    <row r="27" spans="2:4" x14ac:dyDescent="0.25">
      <c r="B27" s="121" t="s">
        <v>104</v>
      </c>
      <c r="C27" s="121"/>
      <c r="D27" s="121"/>
    </row>
    <row r="28" spans="2:4" ht="37.5" customHeight="1" x14ac:dyDescent="0.25">
      <c r="B28" s="122" t="s">
        <v>102</v>
      </c>
      <c r="C28" s="122"/>
      <c r="D28" s="122"/>
    </row>
  </sheetData>
  <mergeCells count="3">
    <mergeCell ref="B26:D26"/>
    <mergeCell ref="B27:D27"/>
    <mergeCell ref="B28:D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view="pageLayout" topLeftCell="A22" zoomScaleNormal="85" workbookViewId="0">
      <selection activeCell="A25" sqref="A25:H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31.5" customHeight="1" x14ac:dyDescent="0.25">
      <c r="A11" s="4" t="s">
        <v>7</v>
      </c>
      <c r="B11" s="85" t="s">
        <v>59</v>
      </c>
      <c r="C11" s="85"/>
      <c r="D11" s="85"/>
      <c r="E11" s="85"/>
      <c r="F11" s="85"/>
      <c r="G11" s="85"/>
      <c r="H11" s="85"/>
      <c r="I11" s="85"/>
      <c r="J11" s="85"/>
    </row>
    <row r="12" spans="1:11" ht="41.25" customHeight="1" x14ac:dyDescent="0.25">
      <c r="A12" s="4" t="s">
        <v>8</v>
      </c>
      <c r="B12" s="85" t="s">
        <v>50</v>
      </c>
      <c r="C12" s="85"/>
      <c r="D12" s="85"/>
      <c r="E12" s="85"/>
      <c r="F12" s="85"/>
      <c r="G12" s="85"/>
      <c r="H12" s="85"/>
      <c r="I12" s="85"/>
      <c r="J12" s="85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2.2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1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1" ht="29.25" customHeight="1" x14ac:dyDescent="0.25">
      <c r="A18" s="4" t="s">
        <v>14</v>
      </c>
      <c r="B18" s="88" t="s">
        <v>94</v>
      </c>
      <c r="C18" s="88"/>
      <c r="D18" s="88"/>
      <c r="E18" s="88"/>
      <c r="F18" s="88"/>
      <c r="G18" s="88"/>
      <c r="H18" s="88"/>
      <c r="I18" s="88"/>
      <c r="J18" s="89"/>
    </row>
    <row r="19" spans="1:11" ht="73.5" customHeight="1" x14ac:dyDescent="0.25">
      <c r="A19" s="9" t="s">
        <v>15</v>
      </c>
      <c r="B19" s="88" t="s">
        <v>58</v>
      </c>
      <c r="C19" s="88"/>
      <c r="D19" s="88"/>
      <c r="E19" s="88"/>
      <c r="F19" s="88"/>
      <c r="G19" s="88"/>
      <c r="H19" s="88"/>
      <c r="I19" s="88"/>
      <c r="J19" s="89"/>
    </row>
    <row r="20" spans="1:11" ht="34.5" customHeight="1" x14ac:dyDescent="0.25">
      <c r="A20" s="9" t="s">
        <v>16</v>
      </c>
      <c r="B20" s="88" t="s">
        <v>63</v>
      </c>
      <c r="C20" s="88"/>
      <c r="D20" s="88"/>
      <c r="E20" s="88"/>
      <c r="F20" s="88"/>
      <c r="G20" s="88"/>
      <c r="H20" s="88"/>
      <c r="I20" s="88"/>
      <c r="J20" s="89"/>
    </row>
    <row r="21" spans="1:11" ht="35.25" customHeight="1" x14ac:dyDescent="0.25">
      <c r="A21" s="9" t="s">
        <v>37</v>
      </c>
      <c r="B21" s="88"/>
      <c r="C21" s="88"/>
      <c r="D21" s="88"/>
      <c r="E21" s="88"/>
      <c r="F21" s="88"/>
      <c r="G21" s="88"/>
      <c r="H21" s="88"/>
      <c r="I21" s="88"/>
      <c r="J21" s="89"/>
      <c r="K21" s="1"/>
    </row>
    <row r="22" spans="1:11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1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1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1" s="39" customFormat="1" x14ac:dyDescent="0.25">
      <c r="A25" s="95" t="s">
        <v>148</v>
      </c>
      <c r="B25" s="96"/>
      <c r="C25" s="95">
        <v>24500000</v>
      </c>
      <c r="D25" s="96"/>
      <c r="E25" s="97"/>
      <c r="F25" s="95">
        <v>624700</v>
      </c>
      <c r="G25" s="96"/>
      <c r="H25" s="97"/>
      <c r="I25" s="98">
        <f>+F25/C25</f>
        <v>2.5497959183673469E-2</v>
      </c>
      <c r="J25" s="99"/>
      <c r="K25" s="38"/>
    </row>
    <row r="26" spans="1:11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1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108</v>
      </c>
      <c r="B29" s="14" t="s">
        <v>92</v>
      </c>
      <c r="C29" s="33">
        <v>9680</v>
      </c>
      <c r="D29" s="15">
        <v>22500000</v>
      </c>
      <c r="E29" s="15">
        <v>2420</v>
      </c>
      <c r="F29" s="15">
        <v>5000000</v>
      </c>
      <c r="G29" s="16">
        <v>68</v>
      </c>
      <c r="H29" s="35">
        <v>20700</v>
      </c>
      <c r="I29" s="17">
        <f>+Tabla176[[#This Row],[Física 
(E)]]/Tabla176[[#This Row],[Física
(C)]]</f>
        <v>2.809917355371901E-2</v>
      </c>
      <c r="J29" s="18">
        <f>+Tabla176[[#This Row],[Financiera 
 (F)]]/Tabla176[[#This Row],[Financiera
(D)]]</f>
        <v>4.1399999999999996E-3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+Tabla176[[#This Row],[Física 
(E)]]/Tabla176[[#This Row],[Física
(C)]]</f>
        <v>#DIV/0!</v>
      </c>
      <c r="J30" s="18" t="e">
        <f>+Tabla176[[#This Row],[Financiera 
 (F)]]/Tabla176[[#This Row],[Financiera
(D)]]</f>
        <v>#DIV/0!</v>
      </c>
    </row>
    <row r="31" spans="1:11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1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65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64</v>
      </c>
      <c r="C34" s="88"/>
      <c r="D34" s="88"/>
      <c r="E34" s="88"/>
      <c r="F34" s="88"/>
      <c r="G34" s="88"/>
      <c r="H34" s="88"/>
      <c r="I34" s="88"/>
      <c r="J34" s="89"/>
    </row>
    <row r="35" spans="1:11" ht="80.25" customHeight="1" x14ac:dyDescent="0.25">
      <c r="A35" s="24" t="s">
        <v>31</v>
      </c>
      <c r="B35" s="88" t="s">
        <v>118</v>
      </c>
      <c r="C35" s="88"/>
      <c r="D35" s="88"/>
      <c r="E35" s="88"/>
      <c r="F35" s="88"/>
      <c r="G35" s="88"/>
      <c r="H35" s="88"/>
      <c r="I35" s="88"/>
      <c r="J35" s="89"/>
    </row>
    <row r="36" spans="1:11" ht="62.25" customHeight="1" x14ac:dyDescent="0.25">
      <c r="A36" s="41" t="s">
        <v>32</v>
      </c>
      <c r="B36" s="88" t="s">
        <v>116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 t="s">
        <v>40</v>
      </c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view="pageLayout" topLeftCell="A12" zoomScaleNormal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31.5" customHeight="1" x14ac:dyDescent="0.25">
      <c r="A11" s="4" t="s">
        <v>7</v>
      </c>
      <c r="B11" s="85" t="s">
        <v>59</v>
      </c>
      <c r="C11" s="85"/>
      <c r="D11" s="85"/>
      <c r="E11" s="85"/>
      <c r="F11" s="85"/>
      <c r="G11" s="85"/>
      <c r="H11" s="85"/>
      <c r="I11" s="85"/>
      <c r="J11" s="85"/>
    </row>
    <row r="12" spans="1:11" ht="41.25" customHeight="1" x14ac:dyDescent="0.25">
      <c r="A12" s="4" t="s">
        <v>8</v>
      </c>
      <c r="B12" s="85" t="s">
        <v>50</v>
      </c>
      <c r="C12" s="85"/>
      <c r="D12" s="85"/>
      <c r="E12" s="85"/>
      <c r="F12" s="85"/>
      <c r="G12" s="85"/>
      <c r="H12" s="85"/>
      <c r="I12" s="85"/>
      <c r="J12" s="85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5.2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1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1" ht="29.25" customHeight="1" x14ac:dyDescent="0.25">
      <c r="A18" s="4" t="s">
        <v>14</v>
      </c>
      <c r="B18" s="88" t="s">
        <v>94</v>
      </c>
      <c r="C18" s="88"/>
      <c r="D18" s="88"/>
      <c r="E18" s="88"/>
      <c r="F18" s="88"/>
      <c r="G18" s="88"/>
      <c r="H18" s="88"/>
      <c r="I18" s="88"/>
      <c r="J18" s="89"/>
    </row>
    <row r="19" spans="1:11" ht="73.5" customHeight="1" x14ac:dyDescent="0.25">
      <c r="A19" s="9" t="s">
        <v>15</v>
      </c>
      <c r="B19" s="88" t="s">
        <v>58</v>
      </c>
      <c r="C19" s="88"/>
      <c r="D19" s="88"/>
      <c r="E19" s="88"/>
      <c r="F19" s="88"/>
      <c r="G19" s="88"/>
      <c r="H19" s="88"/>
      <c r="I19" s="88"/>
      <c r="J19" s="89"/>
    </row>
    <row r="20" spans="1:11" ht="34.5" customHeight="1" x14ac:dyDescent="0.25">
      <c r="A20" s="9" t="s">
        <v>16</v>
      </c>
      <c r="B20" s="88" t="s">
        <v>63</v>
      </c>
      <c r="C20" s="88"/>
      <c r="D20" s="88"/>
      <c r="E20" s="88"/>
      <c r="F20" s="88"/>
      <c r="G20" s="88"/>
      <c r="H20" s="88"/>
      <c r="I20" s="88"/>
      <c r="J20" s="89"/>
    </row>
    <row r="21" spans="1:11" ht="35.25" customHeight="1" x14ac:dyDescent="0.25">
      <c r="A21" s="9" t="s">
        <v>37</v>
      </c>
      <c r="B21" s="88"/>
      <c r="C21" s="88"/>
      <c r="D21" s="88"/>
      <c r="E21" s="88"/>
      <c r="F21" s="88"/>
      <c r="G21" s="88"/>
      <c r="H21" s="88"/>
      <c r="I21" s="88"/>
      <c r="J21" s="89"/>
      <c r="K21" s="1"/>
    </row>
    <row r="22" spans="1:11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1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1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1" s="39" customFormat="1" x14ac:dyDescent="0.25">
      <c r="A25" s="95" t="s">
        <v>148</v>
      </c>
      <c r="B25" s="96"/>
      <c r="C25" s="95">
        <v>24500000</v>
      </c>
      <c r="D25" s="96"/>
      <c r="E25" s="97"/>
      <c r="F25" s="95">
        <v>624700</v>
      </c>
      <c r="G25" s="96"/>
      <c r="H25" s="97"/>
      <c r="I25" s="98">
        <f>+F25/C25</f>
        <v>2.5497959183673469E-2</v>
      </c>
      <c r="J25" s="99"/>
      <c r="K25" s="38"/>
    </row>
    <row r="26" spans="1:11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1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119</v>
      </c>
      <c r="B29" s="14" t="s">
        <v>61</v>
      </c>
      <c r="C29" s="33">
        <v>28665</v>
      </c>
      <c r="D29" s="15">
        <v>500000</v>
      </c>
      <c r="E29" s="15">
        <v>9555</v>
      </c>
      <c r="F29" s="15">
        <v>200000</v>
      </c>
      <c r="G29" s="16">
        <v>26920</v>
      </c>
      <c r="H29" s="23">
        <v>0</v>
      </c>
      <c r="I29" s="17">
        <f>+Tabla18[[#This Row],[Física 
(E)]]/Tabla18[[#This Row],[Física
(C)]]</f>
        <v>2.8173731030873888</v>
      </c>
      <c r="J29" s="18">
        <f>+Tabla18[[#This Row],[Financiera 
 (F)]]/Tabla18[[#This Row],[Financiera
(D)]]</f>
        <v>0</v>
      </c>
    </row>
    <row r="30" spans="1:11" x14ac:dyDescent="0.25">
      <c r="A30" s="19"/>
      <c r="B30" s="20"/>
      <c r="C30" s="21"/>
      <c r="D30" s="22"/>
      <c r="E30" s="22"/>
      <c r="F30" s="22"/>
      <c r="G30" s="58"/>
      <c r="H30" s="22"/>
      <c r="I30" s="17">
        <f>IF(H29&gt;0,H29/C30,0)</f>
        <v>0</v>
      </c>
      <c r="J30" s="18">
        <f>IF(H30&gt;0,H30/D30,0)</f>
        <v>0</v>
      </c>
    </row>
    <row r="31" spans="1:11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1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66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67</v>
      </c>
      <c r="C34" s="88"/>
      <c r="D34" s="88"/>
      <c r="E34" s="88"/>
      <c r="F34" s="88"/>
      <c r="G34" s="88"/>
      <c r="H34" s="88"/>
      <c r="I34" s="88"/>
      <c r="J34" s="89"/>
    </row>
    <row r="35" spans="1:11" ht="80.25" customHeight="1" x14ac:dyDescent="0.25">
      <c r="A35" s="24" t="s">
        <v>31</v>
      </c>
      <c r="B35" s="88" t="s">
        <v>121</v>
      </c>
      <c r="C35" s="88"/>
      <c r="D35" s="88"/>
      <c r="E35" s="88"/>
      <c r="F35" s="88"/>
      <c r="G35" s="88"/>
      <c r="H35" s="88"/>
      <c r="I35" s="88"/>
      <c r="J35" s="89"/>
    </row>
    <row r="36" spans="1:11" ht="62.25" customHeight="1" x14ac:dyDescent="0.25">
      <c r="A36" s="24" t="s">
        <v>32</v>
      </c>
      <c r="B36" s="88" t="s">
        <v>120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 t="s">
        <v>40</v>
      </c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onto ejecutado en el trimestre" sqref="H28:H30"/>
    <dataValidation allowBlank="1" showInputMessage="1" showErrorMessage="1" prompt="Meta alcanzada en el trimestre" sqref="G28:G29 H29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view="pageBreakPreview" topLeftCell="A18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0.7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60" x14ac:dyDescent="0.25">
      <c r="A29" s="13" t="s">
        <v>109</v>
      </c>
      <c r="B29" s="14" t="s">
        <v>79</v>
      </c>
      <c r="C29" s="34">
        <v>14250</v>
      </c>
      <c r="D29" s="15">
        <v>1000000</v>
      </c>
      <c r="E29" s="15">
        <v>3750</v>
      </c>
      <c r="F29" s="15">
        <v>300000</v>
      </c>
      <c r="G29" s="16">
        <v>5780</v>
      </c>
      <c r="H29" s="35">
        <v>682600</v>
      </c>
      <c r="I29" s="17">
        <f>+Tabla134591011121314[[#This Row],[Física 
(E)]]/Tabla134591011121314[[#This Row],[Física
(C)]]</f>
        <v>1.5413333333333334</v>
      </c>
      <c r="J29" s="18">
        <f>+Tabla134591011121314[[#This Row],[Financiera 
 (F)]]/Tabla134591011121314[[#This Row],[Financiera
(D)]]</f>
        <v>2.2753333333333332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+Tabla134591011121314[[#This Row],[Física 
(E)]]/Tabla134591011121314[[#This Row],[Física
(C)]]</f>
        <v>#DIV/0!</v>
      </c>
      <c r="J30" s="18" t="e">
        <f>+Tabla134591011121314[[#This Row],[Financiera 
 (F)]]/Tabla134591011121314[[#This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78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80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124</v>
      </c>
      <c r="C35" s="88"/>
      <c r="D35" s="88"/>
      <c r="E35" s="88"/>
      <c r="F35" s="88"/>
      <c r="G35" s="88"/>
      <c r="H35" s="88"/>
      <c r="I35" s="88"/>
      <c r="J35" s="89"/>
    </row>
    <row r="36" spans="1:11" ht="43.5" customHeight="1" x14ac:dyDescent="0.25">
      <c r="A36" s="41" t="s">
        <v>32</v>
      </c>
      <c r="B36" s="118" t="s">
        <v>122</v>
      </c>
      <c r="C36" s="118"/>
      <c r="D36" s="118"/>
      <c r="E36" s="118"/>
      <c r="F36" s="118"/>
      <c r="G36" s="118"/>
      <c r="H36" s="118"/>
      <c r="I36" s="118"/>
      <c r="J36" s="11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41"/>
  <sheetViews>
    <sheetView view="pageBreakPreview" topLeftCell="A13" zoomScale="115" zoomScaleNormal="100" zoomScaleSheetLayoutView="115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3" width="12.7109375" style="6" customWidth="1"/>
    <col min="4" max="4" width="14.42578125" style="6" customWidth="1"/>
    <col min="5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27.7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3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3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3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3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3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3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3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3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3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36"/>
    </row>
    <row r="26" spans="1:13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3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3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  <c r="M28" s="44"/>
    </row>
    <row r="29" spans="1:13" ht="48" x14ac:dyDescent="0.25">
      <c r="A29" s="13" t="s">
        <v>123</v>
      </c>
      <c r="B29" s="14" t="s">
        <v>55</v>
      </c>
      <c r="C29" s="34">
        <v>569429</v>
      </c>
      <c r="D29" s="15">
        <v>1304100000</v>
      </c>
      <c r="E29" s="15">
        <v>143000</v>
      </c>
      <c r="F29" s="15">
        <v>300000000</v>
      </c>
      <c r="G29" s="16">
        <v>158467</v>
      </c>
      <c r="H29" s="35">
        <v>414886223.19</v>
      </c>
      <c r="I29" s="17">
        <f>+Tabla1345[[#This Row],[Física 
(E)]]/Tabla1345[[#This Row],[Física
(C)]]</f>
        <v>1.1081608391608391</v>
      </c>
      <c r="J29" s="18">
        <f>+Tabla1345[[#This Row],[Financiera 
 (F)]]/Tabla1345[[#This Row],[Financiera
(D)]]</f>
        <v>1.3829540773</v>
      </c>
      <c r="L29" s="37"/>
    </row>
    <row r="30" spans="1:13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+Tabla1345[[#This Row],[Física 
(E)]]/Tabla1345[[#This Row],[Física
(C)]]</f>
        <v>#DIV/0!</v>
      </c>
      <c r="J30" s="18" t="e">
        <f>+Tabla1345[[#This Row],[Financiera 
 (F)]]/Tabla1345[[#This Row],[Financiera
(D)]]</f>
        <v>#DIV/0!</v>
      </c>
    </row>
    <row r="31" spans="1:13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3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52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53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125</v>
      </c>
      <c r="C35" s="88"/>
      <c r="D35" s="88"/>
      <c r="E35" s="88"/>
      <c r="F35" s="88"/>
      <c r="G35" s="88"/>
      <c r="H35" s="88"/>
      <c r="I35" s="88"/>
      <c r="J35" s="89"/>
    </row>
    <row r="36" spans="1:11" ht="51" customHeight="1" x14ac:dyDescent="0.25">
      <c r="A36" s="24" t="s">
        <v>32</v>
      </c>
      <c r="B36" s="88" t="s">
        <v>126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4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view="pageBreakPreview" topLeftCell="A19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28.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127</v>
      </c>
      <c r="B29" s="14" t="s">
        <v>68</v>
      </c>
      <c r="C29" s="34">
        <v>35000</v>
      </c>
      <c r="D29" s="15">
        <v>1000000</v>
      </c>
      <c r="E29" s="15">
        <v>7000</v>
      </c>
      <c r="F29" s="15">
        <v>300000</v>
      </c>
      <c r="G29" s="16">
        <v>7158</v>
      </c>
      <c r="H29" s="35">
        <v>166350</v>
      </c>
      <c r="I29" s="17">
        <f>+Tabla13459[[#This Row],[Física 
(E)]]/Tabla13459[[#This Row],[Física
(C)]]</f>
        <v>1.0225714285714285</v>
      </c>
      <c r="J29" s="18">
        <f>+Tabla13459[[#This Row],[Financiera 
 (F)]]/Tabla13459[[#This Row],[Financiera
(D)]]</f>
        <v>0.55449999999999999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+Tabla13459[[#This Row],[Física 
(E)]]/Tabla13459[[#This Row],[Física
(C)]]</f>
        <v>#DIV/0!</v>
      </c>
      <c r="J30" s="18" t="e">
        <f>+Tabla13459[[#This Row],[Financiera 
 (F)]]/Tabla13459[[#This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95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96</v>
      </c>
      <c r="C34" s="88"/>
      <c r="D34" s="88"/>
      <c r="E34" s="88"/>
      <c r="F34" s="88"/>
      <c r="G34" s="88"/>
      <c r="H34" s="88"/>
      <c r="I34" s="88"/>
      <c r="J34" s="89"/>
    </row>
    <row r="35" spans="1:11" s="47" customFormat="1" ht="58.5" customHeight="1" x14ac:dyDescent="0.25">
      <c r="A35" s="45" t="s">
        <v>31</v>
      </c>
      <c r="B35" s="110" t="s">
        <v>129</v>
      </c>
      <c r="C35" s="110"/>
      <c r="D35" s="110"/>
      <c r="E35" s="110"/>
      <c r="F35" s="110"/>
      <c r="G35" s="110"/>
      <c r="H35" s="110"/>
      <c r="I35" s="110"/>
      <c r="J35" s="111"/>
      <c r="K35" s="46"/>
    </row>
    <row r="36" spans="1:11" ht="30" x14ac:dyDescent="0.25">
      <c r="A36" s="41" t="s">
        <v>32</v>
      </c>
      <c r="B36" s="88" t="s">
        <v>128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view="pageBreakPreview" topLeftCell="A20" zoomScaleNormal="100" zoomScaleSheetLayoutView="100" workbookViewId="0">
      <selection activeCell="A25" sqref="A25:H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1.5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130</v>
      </c>
      <c r="B29" s="14" t="s">
        <v>70</v>
      </c>
      <c r="C29" s="34">
        <v>2</v>
      </c>
      <c r="D29" s="15">
        <v>1000000</v>
      </c>
      <c r="E29" s="15">
        <v>1</v>
      </c>
      <c r="F29" s="15">
        <v>300000</v>
      </c>
      <c r="G29" s="16">
        <v>4</v>
      </c>
      <c r="H29" s="35">
        <v>19400</v>
      </c>
      <c r="I29" s="17">
        <f>+Tabla1345910[[#This Row],[Física 
(E)]]/Tabla1345910[[#This Row],[Física
(C)]]</f>
        <v>4</v>
      </c>
      <c r="J29" s="18">
        <f>+Tabla1345910[[#This Row],[Financiera 
 (F)]]/Tabla1345910[[#This Row],[Financiera
(D)]]</f>
        <v>6.4666666666666664E-2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+Tabla1345910[[#This Row],[Física 
(E)]]/Tabla1345910[[#This Row],[Física
(C)]]</f>
        <v>#DIV/0!</v>
      </c>
      <c r="J30" s="18" t="e">
        <f>+Tabla1345910[[#This Row],[Financiera 
 (F)]]/Tabla1345910[[#This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69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71</v>
      </c>
      <c r="C34" s="88"/>
      <c r="D34" s="88"/>
      <c r="E34" s="88"/>
      <c r="F34" s="88"/>
      <c r="G34" s="88"/>
      <c r="H34" s="88"/>
      <c r="I34" s="88"/>
      <c r="J34" s="89"/>
    </row>
    <row r="35" spans="1:11" ht="35.25" customHeight="1" x14ac:dyDescent="0.25">
      <c r="A35" s="24" t="s">
        <v>31</v>
      </c>
      <c r="B35" s="88" t="s">
        <v>132</v>
      </c>
      <c r="C35" s="88"/>
      <c r="D35" s="88"/>
      <c r="E35" s="88"/>
      <c r="F35" s="88"/>
      <c r="G35" s="88"/>
      <c r="H35" s="88"/>
      <c r="I35" s="88"/>
      <c r="J35" s="89"/>
    </row>
    <row r="36" spans="1:11" ht="66" customHeight="1" x14ac:dyDescent="0.25">
      <c r="A36" s="41" t="s">
        <v>32</v>
      </c>
      <c r="B36" s="88" t="s">
        <v>131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view="pageBreakPreview" topLeftCell="A25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0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36" x14ac:dyDescent="0.25">
      <c r="A29" s="13" t="s">
        <v>133</v>
      </c>
      <c r="B29" s="14" t="s">
        <v>73</v>
      </c>
      <c r="C29" s="34">
        <v>4</v>
      </c>
      <c r="D29" s="15">
        <v>500000</v>
      </c>
      <c r="E29" s="15">
        <v>1</v>
      </c>
      <c r="F29" s="15">
        <v>100000</v>
      </c>
      <c r="G29" s="16">
        <v>2</v>
      </c>
      <c r="H29" s="35">
        <v>0</v>
      </c>
      <c r="I29" s="17">
        <f>+Tabla134591011[[#This Row],[Física 
(E)]]/Tabla134591011[[#This Row],[Física
(C)]]</f>
        <v>2</v>
      </c>
      <c r="J29" s="18">
        <f>+Tabla134591011[[#This Row],[Financiera 
 (F)]]/Tabla134591011[[#This Row],[Financiera
(D)]]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+Tabla134591011[[#This Row],[Física 
(E)]]/Tabla134591011[[#This Row],[Física
(C)]]</f>
        <v>#DIV/0!</v>
      </c>
      <c r="J30" s="18" t="e">
        <f>+Tabla134591011[[#This Row],[Financiera 
 (F)]]/Tabla134591011[[#This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72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97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134</v>
      </c>
      <c r="C35" s="88"/>
      <c r="D35" s="88"/>
      <c r="E35" s="88"/>
      <c r="F35" s="88"/>
      <c r="G35" s="88"/>
      <c r="H35" s="88"/>
      <c r="I35" s="88"/>
      <c r="J35" s="89"/>
    </row>
    <row r="36" spans="1:11" ht="59.25" customHeight="1" x14ac:dyDescent="0.25">
      <c r="A36" s="41" t="s">
        <v>32</v>
      </c>
      <c r="B36" s="88" t="s">
        <v>131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22" zoomScaleNormal="100" zoomScaleSheetLayoutView="100" workbookViewId="0">
      <selection activeCell="I25" sqref="I25:J2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62" t="s">
        <v>49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6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7"/>
      <c r="B3" s="69" t="s">
        <v>4</v>
      </c>
      <c r="C3" s="70"/>
      <c r="D3" s="69"/>
      <c r="E3" s="70"/>
      <c r="F3" s="70"/>
      <c r="G3" s="70"/>
      <c r="H3" s="71"/>
      <c r="I3" s="31"/>
      <c r="J3" s="32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79" t="s">
        <v>54</v>
      </c>
      <c r="B6" s="80"/>
      <c r="C6" s="80"/>
      <c r="D6" s="80"/>
      <c r="E6" s="80"/>
      <c r="F6" s="80"/>
      <c r="G6" s="80"/>
      <c r="H6" s="80"/>
      <c r="I6" s="80"/>
      <c r="J6" s="81"/>
      <c r="K6" s="1"/>
    </row>
    <row r="7" spans="1:11" ht="15.75" x14ac:dyDescent="0.25">
      <c r="A7" s="82" t="s">
        <v>5</v>
      </c>
      <c r="B7" s="83"/>
      <c r="C7" s="83"/>
      <c r="D7" s="83"/>
      <c r="E7" s="83"/>
      <c r="F7" s="83"/>
      <c r="G7" s="83"/>
      <c r="H7" s="83"/>
      <c r="I7" s="83"/>
      <c r="J7" s="84"/>
      <c r="K7" s="1"/>
    </row>
    <row r="8" spans="1:11" x14ac:dyDescent="0.25">
      <c r="A8" s="4" t="s">
        <v>6</v>
      </c>
      <c r="B8" s="59" t="s">
        <v>57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25">
      <c r="A9" s="28" t="s">
        <v>35</v>
      </c>
      <c r="B9" s="59" t="s">
        <v>51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25">
      <c r="A10" s="28" t="s">
        <v>36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0.5" customHeight="1" x14ac:dyDescent="0.25">
      <c r="A11" s="4" t="s">
        <v>7</v>
      </c>
      <c r="B11" s="110" t="s">
        <v>60</v>
      </c>
      <c r="C11" s="110"/>
      <c r="D11" s="110"/>
      <c r="E11" s="110"/>
      <c r="F11" s="110"/>
      <c r="G11" s="110"/>
      <c r="H11" s="110"/>
      <c r="I11" s="110"/>
      <c r="J11" s="111"/>
    </row>
    <row r="12" spans="1:11" ht="35.25" customHeight="1" x14ac:dyDescent="0.25">
      <c r="A12" s="4" t="s">
        <v>8</v>
      </c>
      <c r="B12" s="110" t="s">
        <v>50</v>
      </c>
      <c r="C12" s="110"/>
      <c r="D12" s="110"/>
      <c r="E12" s="110"/>
      <c r="F12" s="110"/>
      <c r="G12" s="110"/>
      <c r="H12" s="110"/>
      <c r="I12" s="110"/>
      <c r="J12" s="111"/>
    </row>
    <row r="13" spans="1:11" ht="15.75" x14ac:dyDescent="0.25">
      <c r="A13" s="79" t="s">
        <v>9</v>
      </c>
      <c r="B13" s="80"/>
      <c r="C13" s="80"/>
      <c r="D13" s="80"/>
      <c r="E13" s="80"/>
      <c r="F13" s="80"/>
      <c r="G13" s="80"/>
      <c r="H13" s="80"/>
      <c r="I13" s="80"/>
      <c r="J13" s="81"/>
    </row>
    <row r="14" spans="1:11" ht="27.75" customHeight="1" x14ac:dyDescent="0.25">
      <c r="A14" s="4" t="s">
        <v>10</v>
      </c>
      <c r="B14" s="29">
        <f>_xlfn.NUMBERVALUE(LEFT($B$16,1))</f>
        <v>3</v>
      </c>
      <c r="C14" s="86" t="str">
        <f>IFERROR(VLOOKUP(B14,'[1]Validacion datos'!A2:B5,2,FALSE),"")</f>
        <v>DESARROLLO PRODUCTIVO</v>
      </c>
      <c r="D14" s="86"/>
      <c r="E14" s="86"/>
      <c r="F14" s="86"/>
      <c r="G14" s="86"/>
      <c r="H14" s="86"/>
      <c r="I14" s="86"/>
      <c r="J14" s="86"/>
    </row>
    <row r="15" spans="1:11" ht="26.25" customHeight="1" x14ac:dyDescent="0.25">
      <c r="A15" s="4" t="s">
        <v>11</v>
      </c>
      <c r="B15" s="7">
        <f>_xlfn.NUMBERVALUE(LEFT(B16,3))</f>
        <v>3.3</v>
      </c>
      <c r="C15" s="86" t="str">
        <f>IFERROR(VLOOKUP(B15,'[1]Validacion datos'!A8:B26,2,FALSE),"")</f>
        <v>Competitividad e innovavión en un ambiente favorable a la cooperación y la responsabilidad social</v>
      </c>
      <c r="D15" s="86"/>
      <c r="E15" s="86"/>
      <c r="F15" s="86"/>
      <c r="G15" s="86"/>
      <c r="H15" s="86"/>
      <c r="I15" s="86"/>
      <c r="J15" s="86"/>
    </row>
    <row r="16" spans="1:11" ht="30" customHeight="1" x14ac:dyDescent="0.25">
      <c r="A16" s="4" t="s">
        <v>12</v>
      </c>
      <c r="B16" s="8" t="s">
        <v>101</v>
      </c>
      <c r="C16" s="8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7"/>
      <c r="E16" s="87"/>
      <c r="F16" s="87"/>
      <c r="G16" s="87"/>
      <c r="H16" s="87"/>
      <c r="I16" s="87"/>
      <c r="J16" s="87"/>
    </row>
    <row r="17" spans="1:12" ht="15.75" x14ac:dyDescent="0.25">
      <c r="A17" s="79" t="s">
        <v>13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2" ht="29.25" customHeight="1" x14ac:dyDescent="0.25">
      <c r="A18" s="4" t="s">
        <v>14</v>
      </c>
      <c r="B18" s="88" t="s">
        <v>93</v>
      </c>
      <c r="C18" s="88"/>
      <c r="D18" s="88"/>
      <c r="E18" s="88"/>
      <c r="F18" s="88"/>
      <c r="G18" s="88"/>
      <c r="H18" s="88"/>
      <c r="I18" s="88"/>
      <c r="J18" s="89"/>
    </row>
    <row r="19" spans="1:12" ht="76.5" customHeight="1" x14ac:dyDescent="0.25">
      <c r="A19" s="9" t="s">
        <v>15</v>
      </c>
      <c r="B19" s="88" t="s">
        <v>103</v>
      </c>
      <c r="C19" s="88"/>
      <c r="D19" s="88"/>
      <c r="E19" s="88"/>
      <c r="F19" s="88"/>
      <c r="G19" s="88"/>
      <c r="H19" s="88"/>
      <c r="I19" s="88"/>
      <c r="J19" s="89"/>
    </row>
    <row r="20" spans="1:12" ht="34.5" customHeight="1" x14ac:dyDescent="0.25">
      <c r="A20" s="9" t="s">
        <v>16</v>
      </c>
      <c r="B20" s="88" t="s">
        <v>91</v>
      </c>
      <c r="C20" s="88"/>
      <c r="D20" s="88"/>
      <c r="E20" s="88"/>
      <c r="F20" s="88"/>
      <c r="G20" s="88"/>
      <c r="H20" s="88"/>
      <c r="I20" s="88"/>
      <c r="J20" s="89"/>
    </row>
    <row r="21" spans="1:12" ht="35.25" customHeight="1" x14ac:dyDescent="0.25">
      <c r="A21" s="9" t="s">
        <v>37</v>
      </c>
      <c r="B21" s="112" t="s">
        <v>56</v>
      </c>
      <c r="C21" s="88"/>
      <c r="D21" s="88"/>
      <c r="E21" s="88"/>
      <c r="F21" s="88"/>
      <c r="G21" s="88"/>
      <c r="H21" s="88"/>
      <c r="I21" s="88"/>
      <c r="J21" s="89"/>
      <c r="K21" s="1"/>
    </row>
    <row r="22" spans="1:12" ht="15.75" x14ac:dyDescent="0.25">
      <c r="A22" s="79" t="s">
        <v>17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2" ht="15.75" x14ac:dyDescent="0.25">
      <c r="A23" s="82" t="s">
        <v>18</v>
      </c>
      <c r="B23" s="83"/>
      <c r="C23" s="83"/>
      <c r="D23" s="83"/>
      <c r="E23" s="83"/>
      <c r="F23" s="83"/>
      <c r="G23" s="83"/>
      <c r="H23" s="83"/>
      <c r="I23" s="83"/>
      <c r="J23" s="84"/>
      <c r="K23" s="1"/>
    </row>
    <row r="24" spans="1:12" ht="15" customHeight="1" x14ac:dyDescent="0.25">
      <c r="A24" s="90" t="s">
        <v>19</v>
      </c>
      <c r="B24" s="91"/>
      <c r="C24" s="92" t="s">
        <v>20</v>
      </c>
      <c r="D24" s="93"/>
      <c r="E24" s="93"/>
      <c r="F24" s="93" t="s">
        <v>21</v>
      </c>
      <c r="G24" s="93"/>
      <c r="H24" s="91"/>
      <c r="I24" s="92" t="s">
        <v>22</v>
      </c>
      <c r="J24" s="94"/>
    </row>
    <row r="25" spans="1:12" s="39" customFormat="1" x14ac:dyDescent="0.25">
      <c r="A25" s="113">
        <v>1364200000</v>
      </c>
      <c r="B25" s="114"/>
      <c r="C25" s="115">
        <v>1364200000</v>
      </c>
      <c r="D25" s="116"/>
      <c r="E25" s="117"/>
      <c r="F25" s="115">
        <v>586986500.64999998</v>
      </c>
      <c r="G25" s="116"/>
      <c r="H25" s="117"/>
      <c r="I25" s="98">
        <f>F25/C25</f>
        <v>0.43027891852367689</v>
      </c>
      <c r="J25" s="99"/>
      <c r="K25" s="40"/>
    </row>
    <row r="26" spans="1:12" ht="15.75" x14ac:dyDescent="0.25">
      <c r="A26" s="82" t="s">
        <v>23</v>
      </c>
      <c r="B26" s="83"/>
      <c r="C26" s="83"/>
      <c r="D26" s="83"/>
      <c r="E26" s="83"/>
      <c r="F26" s="83"/>
      <c r="G26" s="83"/>
      <c r="H26" s="83"/>
      <c r="I26" s="83"/>
      <c r="J26" s="84"/>
      <c r="K26" s="1"/>
    </row>
    <row r="27" spans="1:12" ht="15" customHeight="1" x14ac:dyDescent="0.25">
      <c r="A27" s="5"/>
      <c r="B27"/>
      <c r="C27" s="100" t="s">
        <v>48</v>
      </c>
      <c r="D27" s="101"/>
      <c r="E27" s="100" t="s">
        <v>106</v>
      </c>
      <c r="F27" s="101"/>
      <c r="G27" s="100" t="s">
        <v>107</v>
      </c>
      <c r="H27" s="100"/>
      <c r="I27" s="100" t="s">
        <v>24</v>
      </c>
      <c r="J27" s="10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72" x14ac:dyDescent="0.25">
      <c r="A29" s="13" t="s">
        <v>110</v>
      </c>
      <c r="B29" s="14" t="s">
        <v>74</v>
      </c>
      <c r="C29" s="34">
        <v>60000</v>
      </c>
      <c r="D29" s="15">
        <v>1000000</v>
      </c>
      <c r="E29" s="15">
        <v>15000</v>
      </c>
      <c r="F29" s="15">
        <v>200000</v>
      </c>
      <c r="G29" s="16">
        <v>69689</v>
      </c>
      <c r="H29" s="35">
        <v>50600</v>
      </c>
      <c r="I29" s="17">
        <f>+Tabla13459101112[[#This Row],[Física 
(E)]]/Tabla13459101112[[#This Row],[Física
(C)]]</f>
        <v>4.6459333333333337</v>
      </c>
      <c r="J29" s="18">
        <f>+Tabla13459101112[[#This Row],[Financiera 
 (F)]]/Tabla13459101112[[#This Row],[Financiera
(D)]]</f>
        <v>0.253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 t="e">
        <f>+Tabla13459101112[[#This Row],[Física 
(E)]]/Tabla13459101112[[#This Row],[Física
(C)]]</f>
        <v>#DIV/0!</v>
      </c>
      <c r="J30" s="18" t="e">
        <f>+Tabla13459101112[[#This Row],[Financiera 
 (F)]]/Tabla13459101112[[#This Row],[Financiera
(D)]]</f>
        <v>#DIV/0!</v>
      </c>
    </row>
    <row r="31" spans="1:12" ht="15.75" x14ac:dyDescent="0.25">
      <c r="A31" s="79" t="s">
        <v>27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2" ht="15.75" x14ac:dyDescent="0.25">
      <c r="A32" s="82" t="s">
        <v>28</v>
      </c>
      <c r="B32" s="83"/>
      <c r="C32" s="83"/>
      <c r="D32" s="83"/>
      <c r="E32" s="83"/>
      <c r="F32" s="83"/>
      <c r="G32" s="83"/>
      <c r="H32" s="83"/>
      <c r="I32" s="83"/>
      <c r="J32" s="84"/>
      <c r="K32" s="1"/>
    </row>
    <row r="33" spans="1:11" x14ac:dyDescent="0.25">
      <c r="A33" s="24" t="s">
        <v>29</v>
      </c>
      <c r="B33" s="88" t="s">
        <v>98</v>
      </c>
      <c r="C33" s="88"/>
      <c r="D33" s="88"/>
      <c r="E33" s="88"/>
      <c r="F33" s="88"/>
      <c r="G33" s="88"/>
      <c r="H33" s="88"/>
      <c r="I33" s="88"/>
      <c r="J33" s="89"/>
    </row>
    <row r="34" spans="1:11" ht="30" x14ac:dyDescent="0.25">
      <c r="A34" s="24" t="s">
        <v>30</v>
      </c>
      <c r="B34" s="88" t="s">
        <v>75</v>
      </c>
      <c r="C34" s="88"/>
      <c r="D34" s="88"/>
      <c r="E34" s="88"/>
      <c r="F34" s="88"/>
      <c r="G34" s="88"/>
      <c r="H34" s="88"/>
      <c r="I34" s="88"/>
      <c r="J34" s="89"/>
    </row>
    <row r="35" spans="1:11" ht="85.5" customHeight="1" x14ac:dyDescent="0.25">
      <c r="A35" s="24" t="s">
        <v>31</v>
      </c>
      <c r="B35" s="88" t="s">
        <v>136</v>
      </c>
      <c r="C35" s="88"/>
      <c r="D35" s="88"/>
      <c r="E35" s="88"/>
      <c r="F35" s="88"/>
      <c r="G35" s="88"/>
      <c r="H35" s="88"/>
      <c r="I35" s="88"/>
      <c r="J35" s="89"/>
    </row>
    <row r="36" spans="1:11" ht="30" x14ac:dyDescent="0.25">
      <c r="A36" s="41" t="s">
        <v>32</v>
      </c>
      <c r="B36" s="88" t="s">
        <v>135</v>
      </c>
      <c r="C36" s="88"/>
      <c r="D36" s="88"/>
      <c r="E36" s="88"/>
      <c r="F36" s="88"/>
      <c r="G36" s="88"/>
      <c r="H36" s="88"/>
      <c r="I36" s="88"/>
      <c r="J36" s="89"/>
    </row>
    <row r="37" spans="1:11" ht="15.75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80"/>
      <c r="J37" s="81"/>
    </row>
    <row r="38" spans="1:11" ht="15.75" x14ac:dyDescent="0.25">
      <c r="A38" s="103" t="s">
        <v>34</v>
      </c>
      <c r="B38" s="104"/>
      <c r="C38" s="104"/>
      <c r="D38" s="104"/>
      <c r="E38" s="104"/>
      <c r="F38" s="104"/>
      <c r="G38" s="104"/>
      <c r="H38" s="104"/>
      <c r="I38" s="104"/>
      <c r="J38" s="105"/>
      <c r="K38" s="1"/>
    </row>
    <row r="39" spans="1:11" ht="27.75" customHeight="1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109" t="s">
        <v>41</v>
      </c>
      <c r="B41" s="109"/>
      <c r="C41" s="109"/>
      <c r="D41" s="109"/>
      <c r="E41" s="109"/>
      <c r="F41" s="109"/>
      <c r="G41" s="109"/>
      <c r="H41" s="109"/>
      <c r="I41" s="109"/>
      <c r="J41" s="10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79DFD8DC03004F88395D0FFF20A4D1" ma:contentTypeVersion="2" ma:contentTypeDescription="Crear nuevo documento." ma:contentTypeScope="" ma:versionID="18442b68f80af38de6650fdd37fda490">
  <xsd:schema xmlns:xsd="http://www.w3.org/2001/XMLSchema" xmlns:xs="http://www.w3.org/2001/XMLSchema" xmlns:p="http://schemas.microsoft.com/office/2006/metadata/properties" xmlns:ns3="17354c51-b712-4344-94a7-25292ac68581" targetNamespace="http://schemas.microsoft.com/office/2006/metadata/properties" ma:root="true" ma:fieldsID="39b2a56721d931b43ec0e53473a8f10d" ns3:_="">
    <xsd:import namespace="17354c51-b712-4344-94a7-25292ac6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54c51-b712-4344-94a7-25292ac68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478C39-6A6E-4259-95FE-433BE0714DF9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17354c51-b712-4344-94a7-25292ac68581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0C6F9DB-597D-4D7D-942A-546749EDD0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54c51-b712-4344-94a7-25292ac6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43C428-5BB9-45C0-AEE2-737472E562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Transporte de pasajeros</vt:lpstr>
      <vt:lpstr>Rótulos</vt:lpstr>
      <vt:lpstr>Permisos de Tran carga (2)</vt:lpstr>
      <vt:lpstr>MotoTaxi . Educacion Vial</vt:lpstr>
      <vt:lpstr>Ciu. Licencia de conducir</vt:lpstr>
      <vt:lpstr>ITV</vt:lpstr>
      <vt:lpstr>Campaña Educativa</vt:lpstr>
      <vt:lpstr>Eventos Seg. Vial</vt:lpstr>
      <vt:lpstr>CPU. Educacion Vial</vt:lpstr>
      <vt:lpstr>PCT. Educacion Vial</vt:lpstr>
      <vt:lpstr>Diseño de Corredores</vt:lpstr>
      <vt:lpstr>Corredores Integrados</vt:lpstr>
      <vt:lpstr>Alcandia Asistencia Tec.</vt:lpstr>
      <vt:lpstr>Alcandia planes movilidad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Cecilia Guzman</cp:lastModifiedBy>
  <cp:lastPrinted>2022-06-13T17:15:18Z</cp:lastPrinted>
  <dcterms:created xsi:type="dcterms:W3CDTF">2021-03-22T15:50:10Z</dcterms:created>
  <dcterms:modified xsi:type="dcterms:W3CDTF">2025-03-28T17:38:08Z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0x0101009D79DFD8DC03004F88395D0FFF20A4D1</vt:lpwstr>
  </property>
</Properties>
</file>