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sieras - Semestral\semestral 2023\"/>
    </mc:Choice>
  </mc:AlternateContent>
  <bookViews>
    <workbookView xWindow="0" yWindow="0" windowWidth="28800" windowHeight="12210" firstSheet="1" activeTab="4"/>
  </bookViews>
  <sheets>
    <sheet name="Transporte de pasajeros" sheetId="6" r:id="rId1"/>
    <sheet name="Rótulos" sheetId="7" r:id="rId2"/>
    <sheet name="Permisos de Tran carga (2)"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9" i="14" l="1"/>
  <c r="H29" i="6"/>
  <c r="G29" i="6"/>
  <c r="H29" i="17"/>
  <c r="G29" i="13"/>
  <c r="F29" i="13"/>
  <c r="E29" i="13"/>
  <c r="G29" i="12"/>
  <c r="F29" i="12"/>
  <c r="E29" i="12"/>
  <c r="G29" i="9"/>
  <c r="F29" i="9"/>
  <c r="E29" i="9"/>
  <c r="H29" i="4"/>
  <c r="G29" i="4"/>
  <c r="F29" i="4"/>
  <c r="E29" i="4"/>
  <c r="H29" i="14"/>
  <c r="G29" i="14"/>
  <c r="E29" i="14"/>
  <c r="G29" i="8" l="1"/>
  <c r="E29" i="8"/>
  <c r="H29" i="7"/>
  <c r="G29" i="7"/>
  <c r="F29" i="6"/>
  <c r="I25" i="8"/>
  <c r="J29" i="7"/>
  <c r="I29" i="7"/>
  <c r="J29" i="6" l="1"/>
  <c r="I29" i="6"/>
  <c r="I25" i="6"/>
  <c r="I29" i="14"/>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29" i="10"/>
  <c r="I30" i="10"/>
  <c r="J29" i="9"/>
  <c r="J30" i="9"/>
  <c r="I29" i="9"/>
  <c r="I30" i="9"/>
  <c r="I29" i="4"/>
  <c r="J29" i="4"/>
  <c r="J30" i="4"/>
  <c r="I30" i="4"/>
  <c r="J29" i="14"/>
  <c r="J30" i="14"/>
  <c r="I30" i="14"/>
  <c r="J29" i="8"/>
  <c r="I29" i="8"/>
  <c r="J30" i="7"/>
  <c r="I30" i="7"/>
  <c r="J30" i="6"/>
  <c r="I30" i="6"/>
  <c r="I25" i="7" l="1"/>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<sst xmlns="http://schemas.openxmlformats.org/spreadsheetml/2006/main" count="948" uniqueCount="146">
  <si>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</si>
  <si>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</si>
  <si>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</si>
  <si>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</si>
  <si>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</si>
  <si>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</si>
  <si>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</si>
  <si>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</si>
  <si>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</si>
  <si>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</si>
  <si>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</si>
  <si>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</si>
  <si>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</si>
  <si>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</si>
  <si>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</si>
  <si>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</si>
  <si>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</si>
  <si>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</si>
  <si>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</si>
  <si>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</si>
  <si>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</si>
  <si>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</si>
  <si>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</si>
  <si>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</si>
  <si>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</si>
  <si>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</si>
  <si>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</si>
  <si>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</si>
  <si>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</si>
  <si>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</si>
  <si>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</si>
  <si>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</si>
  <si>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</si>
  <si>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</si>
  <si>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</si>
  <si>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</si>
  <si>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</si>
  <si>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</si>
  <si>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</si>
  <si>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</si>
  <si>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</si>
  <si>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</si>
  <si>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</si>
  <si>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</si>
  <si>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</si>
  <si>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</si>
  <si>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</si>
  <si>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</si>
  <si>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</si>
  <si>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</si>
  <si>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</si>
  <si>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</si>
  <si>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</si>
  <si>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</si>
  <si>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</si>
  <si>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</si>
  <si>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</si>
  <si>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</si>
  <si>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</si>
  <si>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</si>
  <si>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</si>
  <si>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</si>
  <si>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</si>
  <si>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</si>
  <si>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</si>
  <si>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</si>
  <si>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</si>
  <si>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</si>
  <si>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</si>
  <si>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</si>
  <si>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</si>
  <si>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</si>
  <si>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</si>
  <si>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</si>
  <si>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</si>
  <si>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</si>
  <si>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</si>
  <si>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</si>
  <si>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</si>
  <si>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</si>
  <si>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</si>
  <si>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</si>
  <si>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</si>
  <si>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</si>
  <si>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</si>
  <si>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</si>
  <si>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</si>
  <si>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</si>
  <si>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</si>
  <si>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</si>
  <si>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</si>
  <si>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</si>
  <si>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</si>
  <si>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</si>
  <si>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</si>
  <si>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</si>
  <si>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</si>
  <si>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Realización del diseño para la campaña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</si>
  <si>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</si>
  <si>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</si>
  <si>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</si>
  <si>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</si>
  <si>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</si>
  <si>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</si>
  <si>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</si>
  <si>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</si>
  <si>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</si>
  <si>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</si>
  <si>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</si>
  <si>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</si>
  <si>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</si>
  <si>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6927-Usuarios del sistema de transporte público de pasajeros cuentan con corredores integrados al servicio de la ciudadanía					
					</t>
  </si>
  <si>
    <t xml:space="preserve">6928-Alcaldías reciben asistencias técnicas en materia de movilidad y tránsito					
					</t>
  </si>
  <si>
    <t xml:space="preserve">6929-Alcaldías reciben Planes de Movilidad de sus respectivos Gobiernos Locales					
					</t>
  </si>
  <si>
    <t>6918-Prestadores de servicio reciben permisos de operación de transporte de carga.</t>
  </si>
  <si>
    <t>5879-Ciudadanos reciben licencia de conducir</t>
  </si>
  <si>
    <t>6919-Conductores reciben inspección técnica vehicular</t>
  </si>
  <si>
    <t>En el presupuesto 2023  se proyectó la producción de 20,000 rótulos pero debido diferentes situaciones no odtuvimos los logros deseados.</t>
  </si>
  <si>
    <r>
      <rPr>
        <b/>
        <i/>
        <sz val="11"/>
        <color theme="1"/>
        <rFont val="Calibri"/>
        <family val="2"/>
        <scheme val="minor"/>
      </rPr>
      <t xml:space="preserve">Desvío Ejecución Física: </t>
    </r>
    <r>
      <rPr>
        <i/>
        <sz val="11"/>
        <color theme="1"/>
        <rFont val="Calibri"/>
        <family val="2"/>
        <scheme val="minor"/>
      </rPr>
      <t xml:space="preserve">La ejecución física de este producto presenta una desviación negativa considerable, esto debido a que se arrastra una mala proyeccción de la producción esperada. En tanto a la dimensión financiera, el resultado no obtuvo la misma tendencia.                                                  </t>
    </r>
  </si>
  <si>
    <t xml:space="preserve">La digitalización del proceso de entrega de permisos ha permitido una reducción en los costos de operación de este producto, lo que ha representado una subejecución en el aspecto financiero. La facilidad que representa lo antes mencionado ha contribuido con el aumento de permisos de operaciones emitidos, esto se ve reflejado en la sobreejecución de la parte física del producto.                                                            </t>
  </si>
  <si>
    <t>La ejecución de este producto se ha visto afectada por la dificultad de coordinar las convocatorias a los mototaxistas.</t>
  </si>
  <si>
    <t>La ejecución de este producto se ha visto afectada por la dificultad de coordinar las convocatorias a los mototaxistas</t>
  </si>
  <si>
    <t>6920-Ciudadanos reciben campañas educativas de seguridad vial</t>
  </si>
  <si>
    <t>6923-Población recibe cursos y talleres de educación y formación vial</t>
  </si>
  <si>
    <t>La ejecución financiera de las capacitaciones pudo optimizarse debido al cambio de modalidad en un número significativo de las formaciones impartidas</t>
  </si>
  <si>
    <t>La ejecución física, los talleres y formaciones contaron con un apoyo extraordinario, superando la meta de ciudadanos esperados.</t>
  </si>
  <si>
    <t>La demanda de planes de movilidad por parte de las alcaldías y la oportuna respuesta de la dirección de movilidad, permitieron el cumplimiento por encima de los establecido en la programación física.</t>
  </si>
  <si>
    <t xml:space="preserve"> Estas asistencias no requirieron de ejecución financiera para el cumplimiento de este objetivo.</t>
  </si>
  <si>
    <t>En el presupuesto 2023 se proyectó la producción de 92,472 permisos de operación de transporte de carga; en este periodo se  otorgaron 59,356 permisos equivalente al 131.03% de lo programado.</t>
  </si>
  <si>
    <t>Programación Semestral</t>
  </si>
  <si>
    <t>Ejecución Semestral</t>
  </si>
  <si>
    <t xml:space="preserve">Ejecución Semestral </t>
  </si>
  <si>
    <t xml:space="preserve">Programación Semestral </t>
  </si>
  <si>
    <t>Se realizaron las inspecciones visuales a 5,553 unidades ya que tuvimos algunos inconvenientes en la planificación, la ejecución financiera fue debido a que en el primer trimestre no se pudo completar esta.</t>
  </si>
  <si>
    <t>Informe de Evaluación Semestral de las Metas Físicas-Financieras</t>
  </si>
  <si>
    <t>6921-Personas reciben eventos promocionales de la seguridad vial</t>
  </si>
  <si>
    <t>Los conductores, pasajeros y peatones desbordanron la demanda estimada para el semestre por lo tanto cumplimos en un 153.73%.</t>
  </si>
  <si>
    <t>Fueron diseñados los corredores integrados al sistema de transporte público con una ejecución mayor que lo estipulado porque esos levantamientos fueron realizados en el año 2022 y en este semestre se procedió a realizar los análisis de todos los datos que teníamos y realizamos toda la ejecución del año en este trimestre. En la parte financiera no tuvimos gastos porque no se han implementado.</t>
  </si>
  <si>
    <t xml:space="preserve">Fueron diseñados los corredores integrados al sistema de transporte público con una ejecución mayor que lo estipulado porque esos levantamientos fueron realizados en el año 2022 y en el semestre se procedió a realizar los análisis de todos los datos que teníamos y realizamos toda la ejecución del año. </t>
  </si>
  <si>
    <t xml:space="preserve">Siete alcaldías recibieron asistencias técnicas de las 6 estimadas para este semestre, la falta de coordinación con una quinta alcaldía no nos permitió lograr el cumplimiento al 100% de lo planificado. </t>
  </si>
  <si>
    <t>Los costos operativos de estas asistencias se elevaron por encima de lo esperado, pero obtimizamos los recursos en un 96.69%.</t>
  </si>
  <si>
    <t>Se otorgaron mas licencias de operación de la programadas con un porcentaje de 182.50%.</t>
  </si>
  <si>
    <t xml:space="preserve">Se Presupuestó la emisión de 600,000 licencias de conducir para el semestre del año, y se alcanzó un total de 347,225 lo que arroja un 115.74%. </t>
  </si>
  <si>
    <t>La ejecución física del producto de licencias de conducir mantuvo una tendencia al alta, sobrepasando la programación esperada. En cuanto a la ejecución financiera, este producto trae consigo un arraste de la baja ejecución de fondos efectuadas en el primer trimestre del año ya en el segundo aumentó su ejecución, tenemos un porcentaje 129.96% en el total del semestre.</t>
  </si>
  <si>
    <t>Se Programo 8,000 inspecciones técnica, y se realizaron un total de 5,553 lo que arroja un 69.41%. No obtuvimos los logros deseados.</t>
  </si>
  <si>
    <t xml:space="preserve">Este Servicio es a demanda de los operadores de servicios de transporte de pasajeros. La ejecución financiera: Esta relacionada con los servicios solicitados.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</si>
</sst>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sz val="9"/>
      <name val="Calibri"/>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7" fillId="0" borderId="28" xfId="0" applyNumberFormat="1" applyFont="1" applyBorder="1" applyAlignment="1" applyProtection="1">
      <alignment horizontal="center" vertical="center" wrapText="1" readingOrder="1"/>
      <protection locked="0"/>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5" fillId="0" borderId="0" xfId="0" applyFont="1" applyProtection="1">
      <protection locked="0"/>
    </xf>
    <xf numFmtId="0" fontId="24" fillId="0" borderId="0" xfId="0" applyFont="1"/>
    <xf numFmtId="10" fontId="25" fillId="0" borderId="0" xfId="0" applyNumberFormat="1" applyFont="1" applyProtection="1">
      <protection locked="0"/>
    </xf>
    <xf numFmtId="0" fontId="26" fillId="0" borderId="17" xfId="0" applyFont="1" applyBorder="1" applyAlignment="1" applyProtection="1">
      <alignment vertical="center" wrapText="1"/>
      <protection locked="0"/>
    </xf>
    <xf numFmtId="0" fontId="28" fillId="0" borderId="0" xfId="0" applyFont="1"/>
    <xf numFmtId="0" fontId="9" fillId="0" borderId="17" xfId="0" applyFont="1" applyBorder="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lignment vertical="top"/>
    </xf>
    <xf numFmtId="168" fontId="17" fillId="0" borderId="28"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protection locked="0"/>
    </xf>
    <xf numFmtId="167" fontId="17" fillId="7" borderId="25"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165" fontId="30" fillId="0" borderId="34" xfId="0" applyNumberFormat="1" applyFont="1" applyBorder="1" applyAlignment="1" applyProtection="1">
      <alignment horizontal="center" vertical="center" wrapText="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9" fillId="9" borderId="25" xfId="1" applyNumberFormat="1" applyFont="1" applyFill="1" applyBorder="1" applyAlignment="1" applyProtection="1">
      <alignment horizontal="center" vertical="center" wrapText="1" readingOrder="1"/>
      <protection locked="0"/>
    </xf>
    <xf numFmtId="39" fontId="29" fillId="9" borderId="38" xfId="1" applyNumberFormat="1" applyFont="1" applyFill="1" applyBorder="1" applyAlignment="1" applyProtection="1">
      <alignment horizontal="center" vertical="center" wrapText="1" readingOrder="1"/>
      <protection locked="0"/>
    </xf>
    <xf numFmtId="39" fontId="29" fillId="9" borderId="24" xfId="1" applyNumberFormat="1" applyFont="1" applyFill="1" applyBorder="1" applyAlignment="1" applyProtection="1">
      <alignment horizontal="center" vertical="center" wrapText="1" readingOrder="1"/>
      <protection locked="0"/>
    </xf>
    <xf numFmtId="10" fontId="29" fillId="9" borderId="28" xfId="2" applyNumberFormat="1" applyFont="1" applyFill="1" applyBorder="1" applyAlignment="1" applyProtection="1">
      <alignment horizontal="center" vertical="center" wrapText="1" readingOrder="1"/>
    </xf>
    <xf numFmtId="10" fontId="2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0" fillId="0" borderId="0" xfId="0" applyFont="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39" fontId="29" fillId="9" borderId="27" xfId="1" applyNumberFormat="1" applyFont="1" applyFill="1" applyBorder="1" applyAlignment="1" applyProtection="1">
      <alignment horizontal="center" vertical="center" wrapText="1" readingOrder="1"/>
      <protection locked="0"/>
    </xf>
    <xf numFmtId="39" fontId="29" fillId="9" borderId="28"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3" fontId="22" fillId="0" borderId="0" xfId="0" applyNumberFormat="1" applyFont="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7" fillId="0" borderId="0" xfId="0" applyFont="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calculatedColumnFormula>SUM(125000,125000)</calculatedColumnFormula>
    </tableColumn>
    <tableColumn id="5" name="Física _x000a_(E)" dataDxfId="198">
      <calculatedColumnFormula>SUM(15,58)</calculatedColumnFormula>
    </tableColumn>
    <tableColumn id="6" name="Financiera _x000a_ (F)" dataDxfId="197">
      <calculatedColumnFormula>SUM(463915,30030)</calculatedColumnFormula>
    </tableColumn>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calculatedColumnFormula>SUM(30000,30000)</calculatedColumnFormula>
    </tableColumn>
    <tableColumn id="10" name="Financiera_x000a_(D)" dataDxfId="64">
      <calculatedColumnFormula>SUM(125000,125000)</calculatedColumnFormula>
    </tableColumn>
    <tableColumn id="5" name="Física _x000a_(E)" dataDxfId="63">
      <calculatedColumnFormula>SUM(30338,33137)</calculatedColumnFormula>
    </tableColumn>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calculatedColumnFormula>SUM(33450,63237.5)</calculatedColumnFormula>
    </tableColumn>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calculatedColumnFormula>SUM(492,419)</calculatedColumnFormula>
    </tableColumn>
    <tableColumn id="6" name="Financiera _x000a_ (F)" dataDxfId="182">
      <calculatedColumnFormula>SUM(17251,93705)</calculatedColumnFormula>
    </tableColumn>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calculatedColumnFormula>SUM(23200,22099)</calculatedColumnFormula>
    </tableColumn>
    <tableColumn id="10" name="Financiera_x000a_(D)" dataDxfId="169"/>
    <tableColumn id="5" name="Física _x000a_(E)" dataDxfId="168">
      <calculatedColumnFormula>SUM(34110,25246)</calculatedColumnFormula>
    </tableColumn>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calculatedColumnFormula>SUM(1500,1500)</calculatedColumnFormula>
    </tableColumn>
    <tableColumn id="10" name="Financiera_x000a_(D)" dataDxfId="154">
      <calculatedColumnFormula>SUM(500000,500000)</calculatedColumnFormula>
    </tableColumn>
    <tableColumn id="5" name="Física _x000a_(E)" dataDxfId="153">
      <calculatedColumnFormula>SUM(137,935)</calculatedColumnFormula>
    </tableColumn>
    <tableColumn id="6" name="Financiera _x000a_ (F)" dataDxfId="152">
      <calculatedColumnFormula>SUM(9300,5145)</calculatedColumnFormula>
    </tableColumn>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calculatedColumnFormula>SUM(150000,150000)</calculatedColumnFormula>
    </tableColumn>
    <tableColumn id="10" name="Financiera_x000a_(D)" dataDxfId="139">
      <calculatedColumnFormula>SUM(200000000,350000000)</calculatedColumnFormula>
    </tableColumn>
    <tableColumn id="5" name="Física _x000a_(E)" dataDxfId="138">
      <calculatedColumnFormula>SUM(159969,187256)</calculatedColumnFormula>
    </tableColumn>
    <tableColumn id="6" name="Financiera _x000a_ (F)" dataDxfId="137">
      <calculatedColumnFormula>SUM(5878604,708879994)</calculatedColumnFormula>
    </tableColumn>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calculatedColumnFormula>SUM(3000,5000)</calculatedColumnFormula>
    </tableColumn>
    <tableColumn id="10" name="Financiera_x000a_(D)" dataDxfId="124">
      <calculatedColumnFormula>SUM(250000,250000)</calculatedColumnFormula>
    </tableColumn>
    <tableColumn id="5" name="Física _x000a_(E)" dataDxfId="123">
      <calculatedColumnFormula>SUM(4047,1506)</calculatedColumnFormula>
    </tableColumn>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calculatedColumnFormula>SUM(1500,1500)</calculatedColumnFormula>
    </tableColumn>
    <tableColumn id="10" name="Financiera_x000a_(D)" dataDxfId="79">
      <calculatedColumnFormula>SUM(100000,100000)</calculatedColumnFormula>
    </tableColumn>
    <tableColumn id="5" name="Física _x000a_(E)" dataDxfId="78">
      <calculatedColumnFormula>SUM(1522,3090)</calculatedColumnFormula>
    </tableColumn>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1" zoomScale="115" zoomScaleNormal="115" zoomScaleSheetLayoutView="130" zoomScalePageLayoutView="85"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30" customHeight="1"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54"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90">
        <v>500000</v>
      </c>
      <c r="B25" s="91"/>
      <c r="C25" s="90">
        <v>500000</v>
      </c>
      <c r="D25" s="91"/>
      <c r="E25" s="92"/>
      <c r="F25" s="90">
        <v>493345</v>
      </c>
      <c r="G25" s="91"/>
      <c r="H25" s="92"/>
      <c r="I25" s="93">
        <f>+F25/C25</f>
        <v>0.98668999999999996</v>
      </c>
      <c r="J25" s="94"/>
      <c r="K25" s="37"/>
    </row>
    <row r="26" spans="1:11" ht="15.75" x14ac:dyDescent="0.25">
      <c r="A26" s="77" t="s">
        <v>23</v>
      </c>
      <c r="B26" s="78"/>
      <c r="C26" s="78"/>
      <c r="D26" s="78"/>
      <c r="E26" s="78"/>
      <c r="F26" s="78"/>
      <c r="G26" s="78"/>
      <c r="H26" s="78"/>
      <c r="I26" s="78"/>
      <c r="J26" s="79"/>
      <c r="K26" s="1"/>
    </row>
    <row r="27" spans="1:11" x14ac:dyDescent="0.25">
      <c r="A27" s="5"/>
      <c r="B27"/>
      <c r="C27" s="95" t="s">
        <v>48</v>
      </c>
      <c r="D27" s="96"/>
      <c r="E27" s="95" t="s">
        <v>129</v>
      </c>
      <c r="F27" s="96"/>
      <c r="G27" s="95" t="s">
        <v>130</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13" t="s">
        <v>106</v>
      </c>
      <c r="B29" s="14" t="s">
        <v>60</v>
      </c>
      <c r="C29" s="33">
        <v>100</v>
      </c>
      <c r="D29" s="15">
        <v>500000</v>
      </c>
      <c r="E29" s="15">
        <v>40</v>
      </c>
      <c r="F29" s="15">
        <f t="shared" ref="F29" si="0">SUM(125000,125000)</f>
        <v>250000</v>
      </c>
      <c r="G29" s="16">
        <f t="shared" ref="G29" si="1">SUM(15,58)</f>
        <v>73</v>
      </c>
      <c r="H29" s="15">
        <f t="shared" ref="H29" si="2">SUM(463915,30030)</f>
        <v>493945</v>
      </c>
      <c r="I29" s="17">
        <f>+Tabla17[[#This Row],[Física 
(E)]]/Tabla17[[#This Row],[Física
(C)]]</f>
        <v>1.825</v>
      </c>
      <c r="J29" s="18">
        <f>+Tabla17[[#This Row],[Financiera 
 (F)]]/Tabla17[[#This Row],[Financiera
(D)]]</f>
        <v>1.9757800000000001</v>
      </c>
    </row>
    <row r="30" spans="1:11" x14ac:dyDescent="0.25">
      <c r="A30" s="19"/>
      <c r="B30" s="20"/>
      <c r="C30" s="21"/>
      <c r="D30" s="22"/>
      <c r="E30" s="22"/>
      <c r="F30" s="22"/>
      <c r="G30" s="23"/>
      <c r="H30" s="22"/>
      <c r="I30" s="17" t="e">
        <f>+Tabla17[[#This Row],[Física 
(E)]]/Tabla17[[#This Row],[Física
(C)]]</f>
        <v>#DIV/0!</v>
      </c>
      <c r="J30" s="18" t="e">
        <f>+Tabla17[[#This Row],[Financiera 
 (F)]]/Tabla17[[#This Row],[Financiera
(D)]]</f>
        <v>#DIV/0!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61</v>
      </c>
      <c r="C33" s="83"/>
      <c r="D33" s="83"/>
      <c r="E33" s="83"/>
      <c r="F33" s="83"/>
      <c r="G33" s="83"/>
      <c r="H33" s="83"/>
      <c r="I33" s="83"/>
      <c r="J33" s="84"/>
    </row>
    <row r="34" spans="1:11" ht="30" x14ac:dyDescent="0.25">
      <c r="A34" s="24" t="s">
        <v>30</v>
      </c>
      <c r="B34" s="83" t="s">
        <v>62</v>
      </c>
      <c r="C34" s="83"/>
      <c r="D34" s="83"/>
      <c r="E34" s="83"/>
      <c r="F34" s="83"/>
      <c r="G34" s="83"/>
      <c r="H34" s="83"/>
      <c r="I34" s="83"/>
      <c r="J34" s="84"/>
    </row>
    <row r="35" spans="1:11" ht="80.25" customHeight="1" x14ac:dyDescent="0.25">
      <c r="A35" s="24" t="s">
        <v>31</v>
      </c>
      <c r="B35" s="83" t="s">
        <v>141</v>
      </c>
      <c r="C35" s="83"/>
      <c r="D35" s="83"/>
      <c r="E35" s="83"/>
      <c r="F35" s="83"/>
      <c r="G35" s="83"/>
      <c r="H35" s="83"/>
      <c r="I35" s="83"/>
      <c r="J35" s="84"/>
    </row>
    <row r="36" spans="1:11" ht="82.5" customHeight="1" x14ac:dyDescent="0.25">
      <c r="A36" s="24" t="s">
        <v>32</v>
      </c>
      <c r="B36" s="105" t="s">
        <v>145</v>
      </c>
      <c r="C36" s="105"/>
      <c r="D36" s="105"/>
      <c r="E36" s="105"/>
      <c r="F36" s="105"/>
      <c r="G36" s="105"/>
      <c r="H36" s="105"/>
      <c r="I36" s="105"/>
      <c r="J36" s="106"/>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500000</v>
      </c>
      <c r="B25" s="113"/>
      <c r="C25" s="114">
        <v>500000</v>
      </c>
      <c r="D25" s="115"/>
      <c r="E25" s="116"/>
      <c r="F25" s="114">
        <v>44300</v>
      </c>
      <c r="G25" s="115"/>
      <c r="H25" s="116"/>
      <c r="I25" s="117">
        <f>F25/C25</f>
        <v>8.8599999999999998E-2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120" x14ac:dyDescent="0.25">
      <c r="A29" s="13" t="s">
        <v>123</v>
      </c>
      <c r="B29" s="14" t="s">
        <v>76</v>
      </c>
      <c r="C29" s="34">
        <v>130000</v>
      </c>
      <c r="D29" s="15">
        <v>500000</v>
      </c>
      <c r="E29" s="15">
        <f t="shared" ref="E29" si="0">SUM(30000,30000)</f>
        <v>60000</v>
      </c>
      <c r="F29" s="15">
        <f t="shared" ref="F29" si="1">SUM(125000,125000)</f>
        <v>250000</v>
      </c>
      <c r="G29" s="16">
        <f t="shared" ref="G29" si="2">SUM(30338,33137)</f>
        <v>63475</v>
      </c>
      <c r="H29" s="15">
        <v>44300</v>
      </c>
      <c r="I29" s="17">
        <f>+Tabla1345910111213[[#This Row],[Física 
(E)]]/Tabla1345910111213[[#This Row],[Física
(C)]]</f>
        <v>1.0579166666666666</v>
      </c>
      <c r="J29" s="18">
        <f>+Tabla1345910111213[[#This Row],[Financiera 
 (F)]]/Tabla1345910111213[[#This Row],[Financiera
(D)]]</f>
        <v>0.1772</v>
      </c>
      <c r="L29" s="36"/>
    </row>
    <row r="30" spans="1:12" x14ac:dyDescent="0.25">
      <c r="A30" s="19"/>
      <c r="B30" s="20"/>
      <c r="C30" s="21"/>
      <c r="D30" s="22"/>
      <c r="E30" s="22"/>
      <c r="F30" s="22"/>
      <c r="G30" s="23"/>
      <c r="H30" s="22"/>
      <c r="I30" s="17" t="e">
        <f>+Tabla1345910111213[[#This Row],[Física 
(E)]]/Tabla1345910111213[[#This Row],[Física
(C)]]</f>
        <v>#DIV/0!</v>
      </c>
      <c r="J30" s="18" t="e">
        <f>+Tabla1345910111213[[#This Row],[Financiera 
 (F)]]/Tabla1345910111213[[#This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100</v>
      </c>
      <c r="C33" s="83"/>
      <c r="D33" s="83"/>
      <c r="E33" s="83"/>
      <c r="F33" s="83"/>
      <c r="G33" s="83"/>
      <c r="H33" s="83"/>
      <c r="I33" s="83"/>
      <c r="J33" s="84"/>
    </row>
    <row r="34" spans="1:11" ht="30" x14ac:dyDescent="0.25">
      <c r="A34" s="24" t="s">
        <v>30</v>
      </c>
      <c r="B34" s="83" t="s">
        <v>77</v>
      </c>
      <c r="C34" s="83"/>
      <c r="D34" s="83"/>
      <c r="E34" s="83"/>
      <c r="F34" s="83"/>
      <c r="G34" s="83"/>
      <c r="H34" s="83"/>
      <c r="I34" s="83"/>
      <c r="J34" s="84"/>
    </row>
    <row r="35" spans="1:11" ht="85.5" customHeight="1" x14ac:dyDescent="0.25">
      <c r="A35" s="24" t="s">
        <v>31</v>
      </c>
      <c r="B35" s="83" t="s">
        <v>125</v>
      </c>
      <c r="C35" s="83"/>
      <c r="D35" s="83"/>
      <c r="E35" s="83"/>
      <c r="F35" s="83"/>
      <c r="G35" s="83"/>
      <c r="H35" s="83"/>
      <c r="I35" s="83"/>
      <c r="J35" s="84"/>
    </row>
    <row r="36" spans="1:11" ht="30" x14ac:dyDescent="0.25">
      <c r="A36" s="40" t="s">
        <v>32</v>
      </c>
      <c r="B36" s="119" t="s">
        <v>124</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32"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v>
      </c>
      <c r="B25" s="113"/>
      <c r="C25" s="114">
        <v>200000</v>
      </c>
      <c r="D25" s="115"/>
      <c r="E25" s="116"/>
      <c r="F25" s="114">
        <v>0</v>
      </c>
      <c r="G25" s="115"/>
      <c r="H25" s="116"/>
      <c r="I25" s="117">
        <f>F25/C25</f>
        <v>0</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110</v>
      </c>
      <c r="B29" s="14" t="s">
        <v>82</v>
      </c>
      <c r="C29" s="34">
        <v>15</v>
      </c>
      <c r="D29" s="15">
        <v>200000</v>
      </c>
      <c r="E29" s="15">
        <v>7</v>
      </c>
      <c r="F29" s="15">
        <v>100000</v>
      </c>
      <c r="G29" s="16">
        <v>22</v>
      </c>
      <c r="H29" s="15">
        <v>0</v>
      </c>
      <c r="I29" s="17">
        <f>+Tabla13459101112131415[[#This Row],[Física 
(E)]]/Tabla13459101112131415[[#This Row],[Física
(C)]]</f>
        <v>3.1428571428571428</v>
      </c>
      <c r="J29" s="18">
        <f>+Tabla13459101112131415[[#This Row],[Financiera 
 (F)]]/Tabla13459101112131415[[#This Row],[Financiera
(D)]]</f>
        <v>0</v>
      </c>
      <c r="L29" s="36"/>
    </row>
    <row r="30" spans="1:12" x14ac:dyDescent="0.25">
      <c r="A30" s="19"/>
      <c r="B30" s="20"/>
      <c r="C30" s="21"/>
      <c r="D30" s="22"/>
      <c r="E30" s="22"/>
      <c r="F30" s="22"/>
      <c r="G30" s="23"/>
      <c r="H30" s="22"/>
      <c r="I30" s="17" t="e">
        <f>+Tabla13459101112131415[[#This Row],[Física 
(E)]]/Tabla13459101112131415[[#This Row],[Física
(C)]]</f>
        <v>#DIV/0!</v>
      </c>
      <c r="J30" s="18" t="e">
        <f>+Tabla13459101112131415[[#This Row],[Financiera 
 (F)]]/Tabla13459101112131415[[#This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83</v>
      </c>
      <c r="C33" s="83"/>
      <c r="D33" s="83"/>
      <c r="E33" s="83"/>
      <c r="F33" s="83"/>
      <c r="G33" s="83"/>
      <c r="H33" s="83"/>
      <c r="I33" s="83"/>
      <c r="J33" s="84"/>
    </row>
    <row r="34" spans="1:11" ht="30" x14ac:dyDescent="0.25">
      <c r="A34" s="24" t="s">
        <v>30</v>
      </c>
      <c r="B34" s="83" t="s">
        <v>81</v>
      </c>
      <c r="C34" s="83"/>
      <c r="D34" s="83"/>
      <c r="E34" s="83"/>
      <c r="F34" s="83"/>
      <c r="G34" s="83"/>
      <c r="H34" s="83"/>
      <c r="I34" s="83"/>
      <c r="J34" s="84"/>
    </row>
    <row r="35" spans="1:11" ht="85.5" customHeight="1" x14ac:dyDescent="0.25">
      <c r="A35" s="24" t="s">
        <v>31</v>
      </c>
      <c r="B35" s="83" t="s">
        <v>138</v>
      </c>
      <c r="C35" s="83"/>
      <c r="D35" s="83"/>
      <c r="E35" s="83"/>
      <c r="F35" s="83"/>
      <c r="G35" s="83"/>
      <c r="H35" s="83"/>
      <c r="I35" s="83"/>
      <c r="J35" s="84"/>
    </row>
    <row r="36" spans="1:11" ht="65.25" customHeight="1" x14ac:dyDescent="0.25">
      <c r="A36" s="40" t="s">
        <v>32</v>
      </c>
      <c r="B36" s="119" t="s">
        <v>137</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2" zoomScaleNormal="100" zoomScaleSheetLayoutView="100" workbookViewId="0">
      <selection activeCell="G29" sqref="G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v>
      </c>
      <c r="B25" s="113"/>
      <c r="C25" s="114">
        <v>200000</v>
      </c>
      <c r="D25" s="115"/>
      <c r="E25" s="116"/>
      <c r="F25" s="114">
        <v>6300</v>
      </c>
      <c r="G25" s="115"/>
      <c r="H25" s="116"/>
      <c r="I25" s="117">
        <f>F25/C25</f>
        <v>3.15E-2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s="53" customFormat="1" ht="96" x14ac:dyDescent="0.25">
      <c r="A29" s="49" t="s">
        <v>111</v>
      </c>
      <c r="B29" s="50" t="s">
        <v>84</v>
      </c>
      <c r="C29" s="45">
        <v>10</v>
      </c>
      <c r="D29" s="46">
        <v>200000</v>
      </c>
      <c r="E29" s="46">
        <v>0</v>
      </c>
      <c r="F29" s="46">
        <v>0</v>
      </c>
      <c r="G29" s="16">
        <v>0</v>
      </c>
      <c r="H29" s="46">
        <v>0</v>
      </c>
      <c r="I29" s="47" t="e">
        <f>+Tabla1345910111213141516[[#This Row],[Física 
(E)]]/Tabla1345910111213141516[[#This Row],[Física
(C)]]</f>
        <v>#DIV/0!</v>
      </c>
      <c r="J29" s="48" t="e">
        <f>+Tabla1345910111213141516[[#This Row],[Financiera 
 (F)]]/Tabla1345910111213141516[[#This Row],[Financiera
(D)]]</f>
        <v>#DIV/0!</v>
      </c>
      <c r="K29" s="51"/>
      <c r="L29" s="5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85</v>
      </c>
      <c r="C33" s="83"/>
      <c r="D33" s="83"/>
      <c r="E33" s="83"/>
      <c r="F33" s="83"/>
      <c r="G33" s="83"/>
      <c r="H33" s="83"/>
      <c r="I33" s="83"/>
      <c r="J33" s="84"/>
    </row>
    <row r="34" spans="1:11" ht="30" x14ac:dyDescent="0.25">
      <c r="A34" s="24" t="s">
        <v>30</v>
      </c>
      <c r="B34" s="83" t="s">
        <v>86</v>
      </c>
      <c r="C34" s="83"/>
      <c r="D34" s="83"/>
      <c r="E34" s="83"/>
      <c r="F34" s="83"/>
      <c r="G34" s="83"/>
      <c r="H34" s="83"/>
      <c r="I34" s="83"/>
      <c r="J34" s="84"/>
    </row>
    <row r="35" spans="1:11" ht="85.5" customHeight="1" x14ac:dyDescent="0.25">
      <c r="A35" s="24" t="s">
        <v>31</v>
      </c>
      <c r="B35" s="83"/>
      <c r="C35" s="83"/>
      <c r="D35" s="83"/>
      <c r="E35" s="83"/>
      <c r="F35" s="83"/>
      <c r="G35" s="83"/>
      <c r="H35" s="83"/>
      <c r="I35" s="83"/>
      <c r="J35" s="84"/>
    </row>
    <row r="36" spans="1:11" ht="46.5" customHeight="1" x14ac:dyDescent="0.25">
      <c r="A36" s="40" t="s">
        <v>32</v>
      </c>
      <c r="B36" s="119"/>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topLeftCell="A29" zoomScaleNormal="100" zoomScaleSheetLayoutView="100" workbookViewId="0">
      <selection activeCell="K38" sqref="K38"/>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6"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2">
        <v>200000</v>
      </c>
      <c r="B25" s="113"/>
      <c r="C25" s="114">
        <v>200000</v>
      </c>
      <c r="D25" s="115"/>
      <c r="E25" s="116"/>
      <c r="F25" s="114">
        <v>124810</v>
      </c>
      <c r="G25" s="115"/>
      <c r="H25" s="116"/>
      <c r="I25" s="117">
        <f>F25/C25</f>
        <v>0.62404999999999999</v>
      </c>
      <c r="J25" s="118"/>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96" x14ac:dyDescent="0.25">
      <c r="A29" s="13" t="s">
        <v>112</v>
      </c>
      <c r="B29" s="14" t="s">
        <v>101</v>
      </c>
      <c r="C29" s="34">
        <v>15</v>
      </c>
      <c r="D29" s="15">
        <v>200000</v>
      </c>
      <c r="E29" s="15">
        <v>7</v>
      </c>
      <c r="F29" s="15">
        <v>100000</v>
      </c>
      <c r="G29" s="16">
        <v>6</v>
      </c>
      <c r="H29" s="15">
        <f t="shared" ref="H29" si="0">SUM(33450,63237.5)</f>
        <v>96687.5</v>
      </c>
      <c r="I29" s="17">
        <f>+Tabla134591011121314151617[[#This Row],[Física 
(E)]]/Tabla134591011121314151617[[#This Row],[Física
(C)]]</f>
        <v>0.8571428571428571</v>
      </c>
      <c r="J29" s="18">
        <f>+Tabla134591011121314151617[[#This Row],[Financiera 
 (F)]]/Tabla134591011121314151617[[#This Row],[Financiera
(D)]]</f>
        <v>0.96687500000000004</v>
      </c>
      <c r="L29" s="36"/>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87</v>
      </c>
      <c r="C33" s="83"/>
      <c r="D33" s="83"/>
      <c r="E33" s="83"/>
      <c r="F33" s="83"/>
      <c r="G33" s="83"/>
      <c r="H33" s="83"/>
      <c r="I33" s="83"/>
      <c r="J33" s="84"/>
    </row>
    <row r="34" spans="1:11" ht="30" x14ac:dyDescent="0.25">
      <c r="A34" s="24" t="s">
        <v>30</v>
      </c>
      <c r="B34" s="83" t="s">
        <v>88</v>
      </c>
      <c r="C34" s="83"/>
      <c r="D34" s="83"/>
      <c r="E34" s="83"/>
      <c r="F34" s="83"/>
      <c r="G34" s="83"/>
      <c r="H34" s="83"/>
      <c r="I34" s="83"/>
      <c r="J34" s="84"/>
    </row>
    <row r="35" spans="1:11" ht="58.5" customHeight="1" x14ac:dyDescent="0.25">
      <c r="A35" s="24" t="s">
        <v>31</v>
      </c>
      <c r="B35" s="83" t="s">
        <v>139</v>
      </c>
      <c r="C35" s="83"/>
      <c r="D35" s="83"/>
      <c r="E35" s="83"/>
      <c r="F35" s="83"/>
      <c r="G35" s="83"/>
      <c r="H35" s="83"/>
      <c r="I35" s="83"/>
      <c r="J35" s="84"/>
    </row>
    <row r="36" spans="1:11" ht="46.5" customHeight="1" x14ac:dyDescent="0.25">
      <c r="A36" s="40" t="s">
        <v>32</v>
      </c>
      <c r="B36" s="119" t="s">
        <v>140</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B11" sqref="B11:J1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2">
        <v>200000</v>
      </c>
      <c r="B25" s="113"/>
      <c r="C25" s="114">
        <v>200000</v>
      </c>
      <c r="D25" s="115"/>
      <c r="E25" s="116"/>
      <c r="F25" s="114">
        <v>0</v>
      </c>
      <c r="G25" s="115"/>
      <c r="H25" s="116"/>
      <c r="I25" s="117">
        <f>F25/C25</f>
        <v>0</v>
      </c>
      <c r="J25" s="118"/>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84" x14ac:dyDescent="0.25">
      <c r="A29" s="13" t="s">
        <v>113</v>
      </c>
      <c r="B29" s="14" t="s">
        <v>90</v>
      </c>
      <c r="C29" s="34">
        <v>5</v>
      </c>
      <c r="D29" s="15">
        <v>200000</v>
      </c>
      <c r="E29" s="15">
        <v>2</v>
      </c>
      <c r="F29" s="15">
        <v>100000</v>
      </c>
      <c r="G29" s="16">
        <v>4</v>
      </c>
      <c r="H29" s="15">
        <v>0</v>
      </c>
      <c r="I29" s="17">
        <f>+Tabla13459101112131415161718[[#This Row],[Física 
(E)]]/Tabla13459101112131415161718[[#This Row],[Física
(C)]]</f>
        <v>2</v>
      </c>
      <c r="J29" s="18">
        <f>+Tabla13459101112131415161718[[#This Row],[Financiera 
 (F)]]/Tabla13459101112131415161718[[#This Row],[Financiera
(D)]]</f>
        <v>0</v>
      </c>
      <c r="L29" s="36"/>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87</v>
      </c>
      <c r="C33" s="83"/>
      <c r="D33" s="83"/>
      <c r="E33" s="83"/>
      <c r="F33" s="83"/>
      <c r="G33" s="83"/>
      <c r="H33" s="83"/>
      <c r="I33" s="83"/>
      <c r="J33" s="84"/>
    </row>
    <row r="34" spans="1:11" ht="30" x14ac:dyDescent="0.25">
      <c r="A34" s="24" t="s">
        <v>30</v>
      </c>
      <c r="B34" s="83" t="s">
        <v>89</v>
      </c>
      <c r="C34" s="83"/>
      <c r="D34" s="83"/>
      <c r="E34" s="83"/>
      <c r="F34" s="83"/>
      <c r="G34" s="83"/>
      <c r="H34" s="83"/>
      <c r="I34" s="83"/>
      <c r="J34" s="84"/>
    </row>
    <row r="35" spans="1:11" ht="85.5" customHeight="1" x14ac:dyDescent="0.25">
      <c r="A35" s="24" t="s">
        <v>31</v>
      </c>
      <c r="B35" s="83" t="s">
        <v>126</v>
      </c>
      <c r="C35" s="83"/>
      <c r="D35" s="83"/>
      <c r="E35" s="83"/>
      <c r="F35" s="83"/>
      <c r="G35" s="83"/>
      <c r="H35" s="83"/>
      <c r="I35" s="83"/>
      <c r="J35" s="84"/>
    </row>
    <row r="36" spans="1:11" ht="46.5" customHeight="1" x14ac:dyDescent="0.25">
      <c r="A36" s="40" t="s">
        <v>32</v>
      </c>
      <c r="B36" s="119" t="s">
        <v>127</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21"/>
      <c r="C26" s="121"/>
      <c r="D26" s="121"/>
    </row>
    <row r="27" spans="2:4" x14ac:dyDescent="0.25">
      <c r="B27" s="122" t="s">
        <v>105</v>
      </c>
      <c r="C27" s="122"/>
      <c r="D27" s="122"/>
    </row>
    <row r="28" spans="2:4" ht="37.5" customHeight="1" x14ac:dyDescent="0.25">
      <c r="B28" s="123" t="s">
        <v>103</v>
      </c>
      <c r="C28" s="123"/>
      <c r="D28" s="123"/>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1" zoomScale="110" zoomScaleNormal="11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2.2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73.5"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7">
        <v>17500000</v>
      </c>
      <c r="B25" s="108"/>
      <c r="C25" s="90">
        <v>17500000</v>
      </c>
      <c r="D25" s="91"/>
      <c r="E25" s="92"/>
      <c r="F25" s="90">
        <v>110956.6</v>
      </c>
      <c r="G25" s="91"/>
      <c r="H25" s="92"/>
      <c r="I25" s="93">
        <f>+F25/C25</f>
        <v>6.3403771428571431E-3</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129</v>
      </c>
      <c r="F27" s="96"/>
      <c r="G27" s="95" t="s">
        <v>130</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107</v>
      </c>
      <c r="B29" s="14" t="s">
        <v>92</v>
      </c>
      <c r="C29" s="33">
        <v>20000</v>
      </c>
      <c r="D29" s="15">
        <v>17500000</v>
      </c>
      <c r="E29" s="15">
        <v>8000</v>
      </c>
      <c r="F29" s="15">
        <v>7000000</v>
      </c>
      <c r="G29" s="16">
        <f t="shared" ref="G29" si="0">SUM(492,419)</f>
        <v>911</v>
      </c>
      <c r="H29" s="15">
        <f t="shared" ref="H29" si="1">SUM(17251,93705)</f>
        <v>110956</v>
      </c>
      <c r="I29" s="17">
        <f>+Tabla176[[#This Row],[Física 
(E)]]/Tabla176[[#This Row],[Física
(C)]]</f>
        <v>0.113875</v>
      </c>
      <c r="J29" s="18">
        <f>Tabla176[[#This Row],[Financiera 
 (F)]]/Tabla176[[#This Row],[Financiera
(D)]]</f>
        <v>1.5850857142857142E-2</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65</v>
      </c>
      <c r="C33" s="83"/>
      <c r="D33" s="83"/>
      <c r="E33" s="83"/>
      <c r="F33" s="83"/>
      <c r="G33" s="83"/>
      <c r="H33" s="83"/>
      <c r="I33" s="83"/>
      <c r="J33" s="84"/>
    </row>
    <row r="34" spans="1:11" ht="30" x14ac:dyDescent="0.25">
      <c r="A34" s="24" t="s">
        <v>30</v>
      </c>
      <c r="B34" s="83" t="s">
        <v>64</v>
      </c>
      <c r="C34" s="83"/>
      <c r="D34" s="83"/>
      <c r="E34" s="83"/>
      <c r="F34" s="83"/>
      <c r="G34" s="83"/>
      <c r="H34" s="83"/>
      <c r="I34" s="83"/>
      <c r="J34" s="84"/>
    </row>
    <row r="35" spans="1:11" ht="80.25" customHeight="1" x14ac:dyDescent="0.25">
      <c r="A35" s="24" t="s">
        <v>31</v>
      </c>
      <c r="B35" s="83" t="s">
        <v>117</v>
      </c>
      <c r="C35" s="83"/>
      <c r="D35" s="83"/>
      <c r="E35" s="83"/>
      <c r="F35" s="83"/>
      <c r="G35" s="83"/>
      <c r="H35" s="83"/>
      <c r="I35" s="83"/>
      <c r="J35" s="84"/>
    </row>
    <row r="36" spans="1:11" ht="62.25" customHeight="1" x14ac:dyDescent="0.25">
      <c r="A36" s="40" t="s">
        <v>32</v>
      </c>
      <c r="B36" s="83" t="s">
        <v>118</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topLeftCell="A31"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5.2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73.5"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7">
        <v>500000</v>
      </c>
      <c r="B25" s="108"/>
      <c r="C25" s="90">
        <v>500000</v>
      </c>
      <c r="D25" s="91"/>
      <c r="E25" s="92"/>
      <c r="F25" s="90">
        <v>18097.5</v>
      </c>
      <c r="G25" s="91"/>
      <c r="H25" s="92"/>
      <c r="I25" s="93">
        <f>+F25/C25</f>
        <v>3.6194999999999998E-2</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129</v>
      </c>
      <c r="F27" s="96"/>
      <c r="G27" s="95" t="s">
        <v>131</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114</v>
      </c>
      <c r="B29" s="14" t="s">
        <v>60</v>
      </c>
      <c r="C29" s="33">
        <v>92472</v>
      </c>
      <c r="D29" s="15">
        <v>500000</v>
      </c>
      <c r="E29" s="15">
        <f t="shared" ref="E29" si="0">SUM(23200,22099)</f>
        <v>45299</v>
      </c>
      <c r="F29" s="15">
        <v>200000</v>
      </c>
      <c r="G29" s="16">
        <f t="shared" ref="G29" si="1">SUM(34110,25246)</f>
        <v>59356</v>
      </c>
      <c r="H29" s="23">
        <v>10200</v>
      </c>
      <c r="I29" s="17">
        <f>+Tabla18[[#This Row],[Física 
(E)]]/Tabla18[[#This Row],[Física
(C)]]</f>
        <v>1.3103159010132674</v>
      </c>
      <c r="J29" s="18">
        <f>+Tabla18[[#This Row],[Financiera 
 (F)]]/Tabla18[[#This Row],[Financiera
(D)]]</f>
        <v>5.0999999999999997E-2</v>
      </c>
    </row>
    <row r="30" spans="1:11" x14ac:dyDescent="0.25">
      <c r="A30" s="19"/>
      <c r="B30" s="20"/>
      <c r="C30" s="21"/>
      <c r="D30" s="22"/>
      <c r="E30" s="22"/>
      <c r="F30" s="22"/>
      <c r="G30" s="54"/>
      <c r="H30" s="22"/>
      <c r="I30" s="17" t="e">
        <f>IF(H29&gt;0,H29/C30,0)</f>
        <v>#DIV/0!</v>
      </c>
      <c r="J30" s="18">
        <f>IF(H30&gt;0,H30/D30,0)</f>
        <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66</v>
      </c>
      <c r="C33" s="83"/>
      <c r="D33" s="83"/>
      <c r="E33" s="83"/>
      <c r="F33" s="83"/>
      <c r="G33" s="83"/>
      <c r="H33" s="83"/>
      <c r="I33" s="83"/>
      <c r="J33" s="84"/>
    </row>
    <row r="34" spans="1:11" ht="30" x14ac:dyDescent="0.25">
      <c r="A34" s="24" t="s">
        <v>30</v>
      </c>
      <c r="B34" s="83" t="s">
        <v>67</v>
      </c>
      <c r="C34" s="83"/>
      <c r="D34" s="83"/>
      <c r="E34" s="83"/>
      <c r="F34" s="83"/>
      <c r="G34" s="83"/>
      <c r="H34" s="83"/>
      <c r="I34" s="83"/>
      <c r="J34" s="84"/>
    </row>
    <row r="35" spans="1:11" ht="80.25" customHeight="1" x14ac:dyDescent="0.25">
      <c r="A35" s="24" t="s">
        <v>31</v>
      </c>
      <c r="B35" s="83" t="s">
        <v>128</v>
      </c>
      <c r="C35" s="83"/>
      <c r="D35" s="83"/>
      <c r="E35" s="83"/>
      <c r="F35" s="83"/>
      <c r="G35" s="83"/>
      <c r="H35" s="83"/>
      <c r="I35" s="83"/>
      <c r="J35" s="84"/>
    </row>
    <row r="36" spans="1:11" ht="62.25" customHeight="1" x14ac:dyDescent="0.25">
      <c r="A36" s="24" t="s">
        <v>32</v>
      </c>
      <c r="B36" s="83" t="s">
        <v>119</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110" zoomScaleNormal="100" zoomScaleSheetLayoutView="110" workbookViewId="0">
      <selection activeCell="B19" sqref="B19:J1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2000000</v>
      </c>
      <c r="B25" s="113"/>
      <c r="C25" s="114">
        <v>2000000</v>
      </c>
      <c r="D25" s="115"/>
      <c r="E25" s="116"/>
      <c r="F25" s="114">
        <v>14445</v>
      </c>
      <c r="G25" s="115"/>
      <c r="H25" s="116"/>
      <c r="I25" s="117">
        <f>F25/C25</f>
        <v>7.2224999999999998E-3</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108</v>
      </c>
      <c r="B29" s="14" t="s">
        <v>79</v>
      </c>
      <c r="C29" s="34">
        <v>6000</v>
      </c>
      <c r="D29" s="15">
        <v>2000000</v>
      </c>
      <c r="E29" s="15">
        <f t="shared" ref="E29" si="0">SUM(1500,1500)</f>
        <v>3000</v>
      </c>
      <c r="F29" s="15">
        <f t="shared" ref="F29" si="1">SUM(500000,500000)</f>
        <v>1000000</v>
      </c>
      <c r="G29" s="16">
        <f t="shared" ref="G29" si="2">SUM(137,935)</f>
        <v>1072</v>
      </c>
      <c r="H29" s="15">
        <f t="shared" ref="H29" si="3">SUM(9300,5145)</f>
        <v>14445</v>
      </c>
      <c r="I29" s="17">
        <f>+Tabla134591011121314[[#This Row],[Física 
(E)]]/Tabla134591011121314[[#This Row],[Física
(C)]]</f>
        <v>0.35733333333333334</v>
      </c>
      <c r="J29" s="18">
        <f>+Tabla134591011121314[[#This Row],[Financiera 
 (F)]]/Tabla134591011121314[[#This Row],[Financiera
(D)]]</f>
        <v>1.4445E-2</v>
      </c>
      <c r="L29" s="36"/>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78</v>
      </c>
      <c r="C33" s="83"/>
      <c r="D33" s="83"/>
      <c r="E33" s="83"/>
      <c r="F33" s="83"/>
      <c r="G33" s="83"/>
      <c r="H33" s="83"/>
      <c r="I33" s="83"/>
      <c r="J33" s="84"/>
    </row>
    <row r="34" spans="1:11" ht="30" x14ac:dyDescent="0.25">
      <c r="A34" s="24" t="s">
        <v>30</v>
      </c>
      <c r="B34" s="83" t="s">
        <v>80</v>
      </c>
      <c r="C34" s="83"/>
      <c r="D34" s="83"/>
      <c r="E34" s="83"/>
      <c r="F34" s="83"/>
      <c r="G34" s="83"/>
      <c r="H34" s="83"/>
      <c r="I34" s="83"/>
      <c r="J34" s="84"/>
    </row>
    <row r="35" spans="1:11" ht="85.5" customHeight="1" x14ac:dyDescent="0.25">
      <c r="A35" s="24" t="s">
        <v>31</v>
      </c>
      <c r="B35" s="83" t="s">
        <v>120</v>
      </c>
      <c r="C35" s="83"/>
      <c r="D35" s="83"/>
      <c r="E35" s="83"/>
      <c r="F35" s="83"/>
      <c r="G35" s="83"/>
      <c r="H35" s="83"/>
      <c r="I35" s="83"/>
      <c r="J35" s="84"/>
    </row>
    <row r="36" spans="1:11" ht="43.5" customHeight="1" x14ac:dyDescent="0.25">
      <c r="A36" s="40" t="s">
        <v>32</v>
      </c>
      <c r="B36" s="119" t="s">
        <v>121</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tabSelected="1" view="pageBreakPreview" zoomScaleNormal="100" zoomScaleSheetLayoutView="100" workbookViewId="0">
      <selection activeCell="A39" sqref="A39:J39"/>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3" ht="15.75" x14ac:dyDescent="0.25">
      <c r="A17" s="74" t="s">
        <v>13</v>
      </c>
      <c r="B17" s="75"/>
      <c r="C17" s="75"/>
      <c r="D17" s="75"/>
      <c r="E17" s="75"/>
      <c r="F17" s="75"/>
      <c r="G17" s="75"/>
      <c r="H17" s="75"/>
      <c r="I17" s="75"/>
      <c r="J17" s="76"/>
    </row>
    <row r="18" spans="1:13" ht="29.25" customHeight="1" x14ac:dyDescent="0.25">
      <c r="A18" s="4" t="s">
        <v>14</v>
      </c>
      <c r="B18" s="83" t="s">
        <v>93</v>
      </c>
      <c r="C18" s="83"/>
      <c r="D18" s="83"/>
      <c r="E18" s="83"/>
      <c r="F18" s="83"/>
      <c r="G18" s="83"/>
      <c r="H18" s="83"/>
      <c r="I18" s="83"/>
      <c r="J18" s="84"/>
    </row>
    <row r="19" spans="1:13" ht="76.5" customHeight="1" x14ac:dyDescent="0.25">
      <c r="A19" s="9" t="s">
        <v>15</v>
      </c>
      <c r="B19" s="83" t="s">
        <v>104</v>
      </c>
      <c r="C19" s="83"/>
      <c r="D19" s="83"/>
      <c r="E19" s="83"/>
      <c r="F19" s="83"/>
      <c r="G19" s="83"/>
      <c r="H19" s="83"/>
      <c r="I19" s="83"/>
      <c r="J19" s="84"/>
    </row>
    <row r="20" spans="1:13" ht="34.5" customHeight="1" x14ac:dyDescent="0.25">
      <c r="A20" s="9" t="s">
        <v>16</v>
      </c>
      <c r="B20" s="83" t="s">
        <v>91</v>
      </c>
      <c r="C20" s="83"/>
      <c r="D20" s="83"/>
      <c r="E20" s="83"/>
      <c r="F20" s="83"/>
      <c r="G20" s="83"/>
      <c r="H20" s="83"/>
      <c r="I20" s="83"/>
      <c r="J20" s="84"/>
    </row>
    <row r="21" spans="1:13" ht="35.25" customHeight="1" x14ac:dyDescent="0.25">
      <c r="A21" s="9" t="s">
        <v>37</v>
      </c>
      <c r="B21" s="111" t="s">
        <v>55</v>
      </c>
      <c r="C21" s="83"/>
      <c r="D21" s="83"/>
      <c r="E21" s="83"/>
      <c r="F21" s="83"/>
      <c r="G21" s="83"/>
      <c r="H21" s="83"/>
      <c r="I21" s="83"/>
      <c r="J21" s="84"/>
      <c r="K21" s="1"/>
    </row>
    <row r="22" spans="1:13" ht="15.75" x14ac:dyDescent="0.25">
      <c r="A22" s="74" t="s">
        <v>17</v>
      </c>
      <c r="B22" s="75"/>
      <c r="C22" s="75"/>
      <c r="D22" s="75"/>
      <c r="E22" s="75"/>
      <c r="F22" s="75"/>
      <c r="G22" s="75"/>
      <c r="H22" s="75"/>
      <c r="I22" s="75"/>
      <c r="J22" s="76"/>
    </row>
    <row r="23" spans="1:13" ht="15.75" x14ac:dyDescent="0.25">
      <c r="A23" s="77" t="s">
        <v>18</v>
      </c>
      <c r="B23" s="78"/>
      <c r="C23" s="78"/>
      <c r="D23" s="78"/>
      <c r="E23" s="78"/>
      <c r="F23" s="78"/>
      <c r="G23" s="78"/>
      <c r="H23" s="78"/>
      <c r="I23" s="78"/>
      <c r="J23" s="79"/>
      <c r="K23" s="1"/>
    </row>
    <row r="24" spans="1:13" ht="15" customHeight="1" x14ac:dyDescent="0.25">
      <c r="A24" s="85" t="s">
        <v>19</v>
      </c>
      <c r="B24" s="86"/>
      <c r="C24" s="87" t="s">
        <v>20</v>
      </c>
      <c r="D24" s="88"/>
      <c r="E24" s="88"/>
      <c r="F24" s="88" t="s">
        <v>21</v>
      </c>
      <c r="G24" s="88"/>
      <c r="H24" s="86"/>
      <c r="I24" s="87" t="s">
        <v>22</v>
      </c>
      <c r="J24" s="89"/>
    </row>
    <row r="25" spans="1:13" x14ac:dyDescent="0.25">
      <c r="A25" s="112">
        <v>1313605000</v>
      </c>
      <c r="B25" s="113"/>
      <c r="C25" s="114">
        <v>1174869560.8499999</v>
      </c>
      <c r="D25" s="115"/>
      <c r="E25" s="116"/>
      <c r="F25" s="114">
        <v>742960932.59000003</v>
      </c>
      <c r="G25" s="115"/>
      <c r="H25" s="116"/>
      <c r="I25" s="117">
        <f>F25/C25</f>
        <v>0.63237737817675632</v>
      </c>
      <c r="J25" s="118"/>
      <c r="K25" s="35"/>
    </row>
    <row r="26" spans="1:13" ht="15.75" x14ac:dyDescent="0.25">
      <c r="A26" s="77" t="s">
        <v>23</v>
      </c>
      <c r="B26" s="78"/>
      <c r="C26" s="78"/>
      <c r="D26" s="78"/>
      <c r="E26" s="78"/>
      <c r="F26" s="78"/>
      <c r="G26" s="78"/>
      <c r="H26" s="78"/>
      <c r="I26" s="78"/>
      <c r="J26" s="79"/>
      <c r="K26" s="1"/>
    </row>
    <row r="27" spans="1:13" ht="15" customHeight="1" x14ac:dyDescent="0.25">
      <c r="A27" s="5"/>
      <c r="B27"/>
      <c r="C27" s="95" t="s">
        <v>48</v>
      </c>
      <c r="D27" s="96"/>
      <c r="E27" s="95" t="s">
        <v>132</v>
      </c>
      <c r="F27" s="96"/>
      <c r="G27" s="95" t="s">
        <v>130</v>
      </c>
      <c r="H27" s="95"/>
      <c r="I27" s="95" t="s">
        <v>24</v>
      </c>
      <c r="J27" s="97"/>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48" x14ac:dyDescent="0.25">
      <c r="A29" s="13" t="s">
        <v>115</v>
      </c>
      <c r="B29" s="14" t="s">
        <v>54</v>
      </c>
      <c r="C29" s="34">
        <v>600000</v>
      </c>
      <c r="D29" s="15">
        <v>1313000000</v>
      </c>
      <c r="E29" s="15">
        <f t="shared" ref="E29" si="0">SUM(150000,150000)</f>
        <v>300000</v>
      </c>
      <c r="F29" s="15">
        <f t="shared" ref="F29" si="1">SUM(200000000,350000000)</f>
        <v>550000000</v>
      </c>
      <c r="G29" s="16">
        <f t="shared" ref="G29" si="2">SUM(159969,187256)</f>
        <v>347225</v>
      </c>
      <c r="H29" s="15">
        <f t="shared" ref="H29" si="3">SUM(5878604,708879994)</f>
        <v>714758598</v>
      </c>
      <c r="I29" s="17">
        <f>+Tabla1345[[#This Row],[Física 
(E)]]/Tabla1345[[#This Row],[Física
(C)]]</f>
        <v>1.1574166666666668</v>
      </c>
      <c r="J29" s="18">
        <f>+Tabla1345[[#This Row],[Financiera 
 (F)]]/Tabla1345[[#This Row],[Financiera
(D)]]</f>
        <v>1.2995610872727272</v>
      </c>
      <c r="L29" s="36"/>
    </row>
    <row r="30" spans="1:13" x14ac:dyDescent="0.25">
      <c r="A30" s="19"/>
      <c r="B30" s="20"/>
      <c r="C30" s="21"/>
      <c r="D30" s="22"/>
      <c r="E30" s="22"/>
      <c r="F30" s="22"/>
      <c r="G30" s="23"/>
      <c r="H30" s="22"/>
      <c r="I30" s="17" t="e">
        <f>+Tabla1345[[#This Row],[Física 
(E)]]/Tabla1345[[#This Row],[Física
(C)]]</f>
        <v>#DIV/0!</v>
      </c>
      <c r="J30" s="18" t="e">
        <f>+Tabla1345[[#This Row],[Financiera 
 (F)]]/Tabla1345[[#This Row],[Financiera
(D)]]</f>
        <v>#DIV/0!</v>
      </c>
    </row>
    <row r="31" spans="1:13" ht="15.75" x14ac:dyDescent="0.25">
      <c r="A31" s="74" t="s">
        <v>27</v>
      </c>
      <c r="B31" s="75"/>
      <c r="C31" s="75"/>
      <c r="D31" s="75"/>
      <c r="E31" s="75"/>
      <c r="F31" s="75"/>
      <c r="G31" s="75"/>
      <c r="H31" s="75"/>
      <c r="I31" s="75"/>
      <c r="J31" s="76"/>
    </row>
    <row r="32" spans="1:13" ht="15.75" x14ac:dyDescent="0.25">
      <c r="A32" s="77" t="s">
        <v>28</v>
      </c>
      <c r="B32" s="78"/>
      <c r="C32" s="78"/>
      <c r="D32" s="78"/>
      <c r="E32" s="78"/>
      <c r="F32" s="78"/>
      <c r="G32" s="78"/>
      <c r="H32" s="78"/>
      <c r="I32" s="78"/>
      <c r="J32" s="79"/>
      <c r="K32" s="1"/>
    </row>
    <row r="33" spans="1:11" x14ac:dyDescent="0.25">
      <c r="A33" s="24" t="s">
        <v>29</v>
      </c>
      <c r="B33" s="83" t="s">
        <v>51</v>
      </c>
      <c r="C33" s="83"/>
      <c r="D33" s="83"/>
      <c r="E33" s="83"/>
      <c r="F33" s="83"/>
      <c r="G33" s="83"/>
      <c r="H33" s="83"/>
      <c r="I33" s="83"/>
      <c r="J33" s="84"/>
    </row>
    <row r="34" spans="1:11" ht="30" x14ac:dyDescent="0.25">
      <c r="A34" s="24" t="s">
        <v>30</v>
      </c>
      <c r="B34" s="83" t="s">
        <v>52</v>
      </c>
      <c r="C34" s="83"/>
      <c r="D34" s="83"/>
      <c r="E34" s="83"/>
      <c r="F34" s="83"/>
      <c r="G34" s="83"/>
      <c r="H34" s="83"/>
      <c r="I34" s="83"/>
      <c r="J34" s="84"/>
    </row>
    <row r="35" spans="1:11" ht="85.5" customHeight="1" x14ac:dyDescent="0.25">
      <c r="A35" s="24" t="s">
        <v>31</v>
      </c>
      <c r="B35" s="83" t="s">
        <v>142</v>
      </c>
      <c r="C35" s="83"/>
      <c r="D35" s="83"/>
      <c r="E35" s="83"/>
      <c r="F35" s="83"/>
      <c r="G35" s="83"/>
      <c r="H35" s="83"/>
      <c r="I35" s="83"/>
      <c r="J35" s="84"/>
    </row>
    <row r="36" spans="1:11" ht="51" customHeight="1" x14ac:dyDescent="0.25">
      <c r="A36" s="24" t="s">
        <v>32</v>
      </c>
      <c r="B36" s="83" t="s">
        <v>143</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19" zoomScale="120" zoomScaleNormal="100" zoomScaleSheetLayoutView="12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8.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1000000</v>
      </c>
      <c r="B25" s="113"/>
      <c r="C25" s="114">
        <v>1000000</v>
      </c>
      <c r="D25" s="115"/>
      <c r="E25" s="116"/>
      <c r="F25" s="114">
        <v>479850</v>
      </c>
      <c r="G25" s="115"/>
      <c r="H25" s="116"/>
      <c r="I25" s="117">
        <f>F25/C25</f>
        <v>0.47985</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116</v>
      </c>
      <c r="B29" s="14" t="s">
        <v>68</v>
      </c>
      <c r="C29" s="34">
        <v>15000</v>
      </c>
      <c r="D29" s="15">
        <v>1000000</v>
      </c>
      <c r="E29" s="15">
        <f t="shared" ref="E29" si="0">SUM(3000,5000)</f>
        <v>8000</v>
      </c>
      <c r="F29" s="15">
        <f t="shared" ref="F29" si="1">SUM(250000,250000)</f>
        <v>500000</v>
      </c>
      <c r="G29" s="16">
        <f t="shared" ref="G29" si="2">SUM(4047,1506)</f>
        <v>5553</v>
      </c>
      <c r="H29" s="15">
        <v>401362.5</v>
      </c>
      <c r="I29" s="17">
        <f>+Tabla13459[[#This Row],[Física 
(E)]]/Tabla13459[[#This Row],[Física
(C)]]</f>
        <v>0.69412499999999999</v>
      </c>
      <c r="J29" s="18">
        <f>+Tabla13459[[#This Row],[Financiera 
 (F)]]/Tabla13459[[#This Row],[Financiera
(D)]]</f>
        <v>0.80272500000000002</v>
      </c>
      <c r="L29" s="36"/>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95</v>
      </c>
      <c r="C33" s="83"/>
      <c r="D33" s="83"/>
      <c r="E33" s="83"/>
      <c r="F33" s="83"/>
      <c r="G33" s="83"/>
      <c r="H33" s="83"/>
      <c r="I33" s="83"/>
      <c r="J33" s="84"/>
    </row>
    <row r="34" spans="1:11" ht="30" x14ac:dyDescent="0.25">
      <c r="A34" s="24" t="s">
        <v>30</v>
      </c>
      <c r="B34" s="83" t="s">
        <v>96</v>
      </c>
      <c r="C34" s="83"/>
      <c r="D34" s="83"/>
      <c r="E34" s="83"/>
      <c r="F34" s="83"/>
      <c r="G34" s="83"/>
      <c r="H34" s="83"/>
      <c r="I34" s="83"/>
      <c r="J34" s="84"/>
    </row>
    <row r="35" spans="1:11" s="44" customFormat="1" ht="58.5" customHeight="1" x14ac:dyDescent="0.25">
      <c r="A35" s="42" t="s">
        <v>31</v>
      </c>
      <c r="B35" s="109" t="s">
        <v>144</v>
      </c>
      <c r="C35" s="109"/>
      <c r="D35" s="109"/>
      <c r="E35" s="109"/>
      <c r="F35" s="109"/>
      <c r="G35" s="109"/>
      <c r="H35" s="109"/>
      <c r="I35" s="109"/>
      <c r="J35" s="110"/>
      <c r="K35" s="43"/>
    </row>
    <row r="36" spans="1:11" ht="30" x14ac:dyDescent="0.25">
      <c r="A36" s="40" t="s">
        <v>32</v>
      </c>
      <c r="B36" s="83" t="s">
        <v>133</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8" zoomScaleNormal="100" zoomScaleSheetLayoutView="100" workbookViewId="0">
      <selection activeCell="B35" sqref="B35:J35"/>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1000000</v>
      </c>
      <c r="B25" s="113"/>
      <c r="C25" s="114">
        <v>1000000</v>
      </c>
      <c r="D25" s="115"/>
      <c r="E25" s="116"/>
      <c r="F25" s="114">
        <v>30815</v>
      </c>
      <c r="G25" s="115"/>
      <c r="H25" s="116"/>
      <c r="I25" s="117">
        <f>F25/C25</f>
        <v>3.0814999999999999E-2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122</v>
      </c>
      <c r="B29" s="14" t="s">
        <v>70</v>
      </c>
      <c r="C29" s="34">
        <v>1</v>
      </c>
      <c r="D29" s="15">
        <v>1000000</v>
      </c>
      <c r="E29" s="15">
        <v>0</v>
      </c>
      <c r="F29" s="15">
        <v>0</v>
      </c>
      <c r="G29" s="16">
        <v>0</v>
      </c>
      <c r="H29" s="15">
        <v>31760</v>
      </c>
      <c r="I29" s="17" t="e">
        <f>+Tabla1345910[[#This Row],[Física 
(E)]]/Tabla1345910[[#This Row],[Física
(C)]]</f>
        <v>#DIV/0!</v>
      </c>
      <c r="J29" s="18" t="e">
        <f>+Tabla1345910[[#This Row],[Financiera 
 (F)]]/Tabla1345910[[#This Row],[Financiera
(D)]]</f>
        <v>#DIV/0!</v>
      </c>
      <c r="L29" s="36"/>
    </row>
    <row r="30" spans="1:12" x14ac:dyDescent="0.25">
      <c r="A30" s="19"/>
      <c r="B30" s="20"/>
      <c r="C30" s="21"/>
      <c r="D30" s="22"/>
      <c r="E30" s="22"/>
      <c r="F30" s="22"/>
      <c r="G30" s="23"/>
      <c r="H30" s="22"/>
      <c r="I30" s="17" t="e">
        <f>+Tabla1345910[[#This Row],[Física 
(E)]]/Tabla1345910[[#This Row],[Física
(C)]]</f>
        <v>#DIV/0!</v>
      </c>
      <c r="J30" s="18" t="e">
        <f>+Tabla1345910[[#This Row],[Financiera 
 (F)]]/Tabla1345910[[#This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69</v>
      </c>
      <c r="C33" s="83"/>
      <c r="D33" s="83"/>
      <c r="E33" s="83"/>
      <c r="F33" s="83"/>
      <c r="G33" s="83"/>
      <c r="H33" s="83"/>
      <c r="I33" s="83"/>
      <c r="J33" s="84"/>
    </row>
    <row r="34" spans="1:11" ht="30" x14ac:dyDescent="0.25">
      <c r="A34" s="24" t="s">
        <v>30</v>
      </c>
      <c r="B34" s="83" t="s">
        <v>71</v>
      </c>
      <c r="C34" s="83"/>
      <c r="D34" s="83"/>
      <c r="E34" s="83"/>
      <c r="F34" s="83"/>
      <c r="G34" s="83"/>
      <c r="H34" s="83"/>
      <c r="I34" s="83"/>
      <c r="J34" s="84"/>
    </row>
    <row r="35" spans="1:11" ht="85.5" customHeight="1" x14ac:dyDescent="0.25">
      <c r="A35" s="24" t="s">
        <v>31</v>
      </c>
      <c r="B35" s="83" t="s">
        <v>97</v>
      </c>
      <c r="C35" s="83"/>
      <c r="D35" s="83"/>
      <c r="E35" s="83"/>
      <c r="F35" s="83"/>
      <c r="G35" s="83"/>
      <c r="H35" s="83"/>
      <c r="I35" s="83"/>
      <c r="J35" s="84"/>
    </row>
    <row r="36" spans="1:11" ht="30" x14ac:dyDescent="0.25">
      <c r="A36" s="40" t="s">
        <v>32</v>
      </c>
      <c r="B36" s="83"/>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topLeftCell="A29" zoomScaleNormal="100" zoomScaleSheetLayoutView="100" workbookViewId="0">
      <selection activeCell="I29" sqref="I29"/>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600000</v>
      </c>
      <c r="B25" s="113"/>
      <c r="C25" s="114">
        <v>600000</v>
      </c>
      <c r="D25" s="115"/>
      <c r="E25" s="116"/>
      <c r="F25" s="114">
        <v>0</v>
      </c>
      <c r="G25" s="115"/>
      <c r="H25" s="116"/>
      <c r="I25" s="117">
        <f>F25/C25</f>
        <v>0</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135</v>
      </c>
      <c r="B29" s="14" t="s">
        <v>73</v>
      </c>
      <c r="C29" s="34">
        <v>3</v>
      </c>
      <c r="D29" s="15">
        <v>600000</v>
      </c>
      <c r="E29" s="15">
        <v>1</v>
      </c>
      <c r="F29" s="15">
        <v>200000</v>
      </c>
      <c r="G29" s="16">
        <v>0</v>
      </c>
      <c r="H29" s="15">
        <v>0</v>
      </c>
      <c r="I29" s="17">
        <f>+Tabla134591011[[#This Row],[Física 
(E)]]/Tabla134591011[[#This Row],[Física
(C)]]</f>
        <v>0</v>
      </c>
      <c r="J29" s="18">
        <f>+Tabla134591011[[#This Row],[Financiera 
 (F)]]/Tabla134591011[[#This Row],[Financiera
(D)]]</f>
        <v>0</v>
      </c>
      <c r="L29" s="36"/>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72</v>
      </c>
      <c r="C33" s="83"/>
      <c r="D33" s="83"/>
      <c r="E33" s="83"/>
      <c r="F33" s="83"/>
      <c r="G33" s="83"/>
      <c r="H33" s="83"/>
      <c r="I33" s="83"/>
      <c r="J33" s="84"/>
    </row>
    <row r="34" spans="1:11" ht="30" x14ac:dyDescent="0.25">
      <c r="A34" s="24" t="s">
        <v>30</v>
      </c>
      <c r="B34" s="83" t="s">
        <v>98</v>
      </c>
      <c r="C34" s="83"/>
      <c r="D34" s="83"/>
      <c r="E34" s="83"/>
      <c r="F34" s="83"/>
      <c r="G34" s="83"/>
      <c r="H34" s="83"/>
      <c r="I34" s="83"/>
      <c r="J34" s="84"/>
    </row>
    <row r="35" spans="1:11" ht="85.5" customHeight="1" x14ac:dyDescent="0.25">
      <c r="A35" s="24" t="s">
        <v>31</v>
      </c>
      <c r="B35" s="83"/>
      <c r="C35" s="83"/>
      <c r="D35" s="83"/>
      <c r="E35" s="83"/>
      <c r="F35" s="83"/>
      <c r="G35" s="83"/>
      <c r="H35" s="83"/>
      <c r="I35" s="83"/>
      <c r="J35" s="84"/>
    </row>
    <row r="36" spans="1:11" ht="30" x14ac:dyDescent="0.25">
      <c r="A36" s="40" t="s">
        <v>32</v>
      </c>
      <c r="B36" s="83"/>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topLeftCell="A28"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134</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102</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104</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500000</v>
      </c>
      <c r="B25" s="113"/>
      <c r="C25" s="114">
        <v>500000</v>
      </c>
      <c r="D25" s="115"/>
      <c r="E25" s="116"/>
      <c r="F25" s="114">
        <v>175390</v>
      </c>
      <c r="G25" s="115"/>
      <c r="H25" s="116"/>
      <c r="I25" s="117">
        <f>F25/C25</f>
        <v>0.35077999999999998</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129</v>
      </c>
      <c r="F27" s="96"/>
      <c r="G27" s="95" t="s">
        <v>130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109</v>
      </c>
      <c r="B29" s="14" t="s">
        <v>74</v>
      </c>
      <c r="C29" s="34">
        <v>6000</v>
      </c>
      <c r="D29" s="15">
        <v>500000</v>
      </c>
      <c r="E29" s="15">
        <f t="shared" ref="E29" si="0">SUM(1500,1500)</f>
        <v>3000</v>
      </c>
      <c r="F29" s="15">
        <f t="shared" ref="F29" si="1">SUM(100000,100000)</f>
        <v>200000</v>
      </c>
      <c r="G29" s="16">
        <f t="shared" ref="G29" si="2">SUM(1522,3090)</f>
        <v>4612</v>
      </c>
      <c r="H29" s="15">
        <v>151787.5</v>
      </c>
      <c r="I29" s="17">
        <f>+Tabla13459101112[[#This Row],[Física 
(E)]]/Tabla13459101112[[#This Row],[Física
(C)]]</f>
        <v>1.5373333333333334</v>
      </c>
      <c r="J29" s="18">
        <f>+Tabla13459101112[[#This Row],[Financiera 
 (F)]]/Tabla13459101112[[#This Row],[Financiera
(D)]]</f>
        <v>0.75893750000000004</v>
      </c>
      <c r="L29" s="36"/>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99</v>
      </c>
      <c r="C33" s="83"/>
      <c r="D33" s="83"/>
      <c r="E33" s="83"/>
      <c r="F33" s="83"/>
      <c r="G33" s="83"/>
      <c r="H33" s="83"/>
      <c r="I33" s="83"/>
      <c r="J33" s="84"/>
    </row>
    <row r="34" spans="1:11" ht="30" x14ac:dyDescent="0.25">
      <c r="A34" s="24" t="s">
        <v>30</v>
      </c>
      <c r="B34" s="83" t="s">
        <v>75</v>
      </c>
      <c r="C34" s="83"/>
      <c r="D34" s="83"/>
      <c r="E34" s="83"/>
      <c r="F34" s="83"/>
      <c r="G34" s="83"/>
      <c r="H34" s="83"/>
      <c r="I34" s="83"/>
      <c r="J34" s="84"/>
    </row>
    <row r="35" spans="1:11" ht="85.5" customHeight="1" x14ac:dyDescent="0.25">
      <c r="A35" s="24" t="s">
        <v>31</v>
      </c>
      <c r="B35" s="83" t="s">
        <v>136</v>
      </c>
      <c r="C35" s="83"/>
      <c r="D35" s="83"/>
      <c r="E35" s="83"/>
      <c r="F35" s="83"/>
      <c r="G35" s="83"/>
      <c r="H35" s="83"/>
      <c r="I35" s="83"/>
      <c r="J35" s="84"/>
    </row>
    <row r="36" spans="1:11" ht="30" x14ac:dyDescent="0.25">
      <c r="A36" s="40" t="s">
        <v>32</v>
      </c>
      <c r="B36" s="83"/>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Transporte de pasajeros</vt:lpstr>
      <vt:lpstr>Rótulos</vt:lpstr>
      <vt:lpstr>Permisos de Tran carga (2)</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2022-06-13T17:15:18Z</cp:lastPrinted>
  <dcterms:created xsi:type="dcterms:W3CDTF">2021-03-22T15:50:10Z</dcterms:created>
  <dcterms:modified xsi:type="dcterms:W3CDTF">2025-03-13T13:59:44Z</dcterms:modified>
</cp:coreProperties>
</file>