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uzman\Desktop\WEB NUEVA\PRESUPUESTO APROBADO\Metas Fisicas Financieras\Metas Fisicas Financieras - Trimestral\metas ficicas 2023\"/>
    </mc:Choice>
  </mc:AlternateContent>
  <bookViews>
    <workbookView xWindow="0" yWindow="0" windowWidth="28800" windowHeight="12210"/>
  </bookViews>
  <sheets>
    <sheet name="Transporte de pasajeros" sheetId="6" r:id="rId1"/>
    <sheet name="Rótulos" sheetId="7" r:id="rId2"/>
    <sheet name="Permisos de Tran carga (2)" sheetId="8" r:id="rId3"/>
    <sheet name="MotoTaxi . Educacion Vial" sheetId="14" r:id="rId4"/>
    <sheet name="Ciu. Licencia de conducir" sheetId="4" r:id="rId5"/>
    <sheet name="ITV" sheetId="9" r:id="rId6"/>
    <sheet name="Campaña Educativa" sheetId="10" r:id="rId7"/>
    <sheet name="Eventos Seg. Vial" sheetId="11" r:id="rId8"/>
    <sheet name="CPU. Educacion Vial" sheetId="12" r:id="rId9"/>
    <sheet name="PCT. Educacion Vial" sheetId="13" r:id="rId10"/>
    <sheet name="Diseño de Corredores" sheetId="15" r:id="rId11"/>
    <sheet name="Corredores Integrados" sheetId="16" r:id="rId12"/>
    <sheet name="Alcandia Asistencia Tec." sheetId="17" r:id="rId13"/>
    <sheet name="Alcandia planes movilidad" sheetId="18" r:id="rId14"/>
    <sheet name="Hoja1" sheetId="19" state="hidden" r:id="rId15"/>
  </sheets>
  <externalReferences>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 i="8" l="1"/>
  <c r="J29" i="7"/>
  <c r="I29" i="7"/>
  <c r="J29" i="6" l="1"/>
  <c r="I29" i="6"/>
  <c r="I25" i="6"/>
  <c r="I29" i="14"/>
  <c r="J29" i="18"/>
  <c r="J30" i="18"/>
  <c r="I29" i="18"/>
  <c r="I30" i="18"/>
  <c r="J29" i="17"/>
  <c r="J30" i="17"/>
  <c r="I29" i="17"/>
  <c r="I30" i="17"/>
  <c r="J29" i="16"/>
  <c r="J30" i="16"/>
  <c r="I29" i="16"/>
  <c r="I30" i="16"/>
  <c r="J29" i="15"/>
  <c r="J30" i="15"/>
  <c r="I29" i="15"/>
  <c r="I30" i="15"/>
  <c r="J29" i="13"/>
  <c r="J30" i="13"/>
  <c r="I29" i="13"/>
  <c r="I30" i="13"/>
  <c r="I29" i="12"/>
  <c r="J29" i="12"/>
  <c r="J30" i="12"/>
  <c r="I30" i="12"/>
  <c r="J29" i="11"/>
  <c r="J30" i="11"/>
  <c r="I29" i="11"/>
  <c r="I30" i="11"/>
  <c r="J29" i="10"/>
  <c r="J30" i="10"/>
  <c r="I29" i="10"/>
  <c r="I30" i="10"/>
  <c r="J29" i="9"/>
  <c r="J30" i="9"/>
  <c r="I29" i="9"/>
  <c r="I30" i="9"/>
  <c r="I29" i="4"/>
  <c r="J29" i="4"/>
  <c r="J30" i="4"/>
  <c r="I30" i="4"/>
  <c r="J29" i="14"/>
  <c r="J30" i="14"/>
  <c r="I30" i="14"/>
  <c r="J29" i="8"/>
  <c r="I29" i="8"/>
  <c r="J30" i="7"/>
  <c r="I30" i="7"/>
  <c r="J30" i="6"/>
  <c r="I30" i="6"/>
  <c r="I25" i="7" l="1"/>
  <c r="I25" i="18"/>
  <c r="I25" i="17"/>
  <c r="I25" i="16"/>
  <c r="I25" i="15"/>
  <c r="I25" i="13"/>
  <c r="I25" i="12"/>
  <c r="I25" i="11"/>
  <c r="I25" i="10"/>
  <c r="I25" i="9"/>
  <c r="I25" i="4"/>
  <c r="C16" i="18"/>
  <c r="B15" i="18"/>
  <c r="C15" i="18" s="1"/>
  <c r="B14" i="18"/>
  <c r="C14" i="18" s="1"/>
  <c r="C16" i="17"/>
  <c r="B15" i="17"/>
  <c r="C15" i="17" s="1"/>
  <c r="B14" i="17"/>
  <c r="C14" i="17" s="1"/>
  <c r="C16" i="16"/>
  <c r="B15" i="16"/>
  <c r="C15" i="16" s="1"/>
  <c r="B14" i="16"/>
  <c r="C14" i="16" s="1"/>
  <c r="C16" i="15"/>
  <c r="B15" i="15"/>
  <c r="C15" i="15" s="1"/>
  <c r="B14" i="15"/>
  <c r="C14" i="15" s="1"/>
  <c r="I25" i="14"/>
  <c r="C16" i="14"/>
  <c r="B15" i="14"/>
  <c r="C15" i="14" s="1"/>
  <c r="B14" i="14"/>
  <c r="C14" i="14" s="1"/>
  <c r="C16" i="13" l="1"/>
  <c r="B15" i="13"/>
  <c r="C15" i="13" s="1"/>
  <c r="B14" i="13"/>
  <c r="C14" i="13" s="1"/>
  <c r="C16" i="12"/>
  <c r="B15" i="12"/>
  <c r="C15" i="12" s="1"/>
  <c r="B14" i="12"/>
  <c r="C14" i="12" s="1"/>
  <c r="C16" i="11"/>
  <c r="B15" i="11"/>
  <c r="C15" i="11" s="1"/>
  <c r="C14" i="11"/>
  <c r="B14" i="11"/>
  <c r="C16" i="10"/>
  <c r="B15" i="10"/>
  <c r="C15" i="10" s="1"/>
  <c r="B14" i="10"/>
  <c r="C14" i="10" s="1"/>
  <c r="C16" i="9"/>
  <c r="B15" i="9"/>
  <c r="C15" i="9" s="1"/>
  <c r="B14" i="9"/>
  <c r="C14" i="9" s="1"/>
  <c r="J30" i="8"/>
  <c r="I30" i="8"/>
  <c r="C16" i="8"/>
  <c r="B15" i="8"/>
  <c r="C15" i="8" s="1"/>
  <c r="B14" i="8"/>
  <c r="C14" i="8" s="1"/>
  <c r="C16" i="7" l="1"/>
  <c r="B15" i="7"/>
  <c r="C15" i="7" s="1"/>
  <c r="B14" i="7"/>
  <c r="C14" i="7" s="1"/>
  <c r="C16" i="6"/>
  <c r="B15" i="6"/>
  <c r="C15" i="6" s="1"/>
  <c r="B14" i="6"/>
  <c r="C14" i="6" s="1"/>
  <c r="C16" i="4"/>
  <c r="B15" i="4"/>
  <c r="C15" i="4" s="1"/>
  <c r="B14" i="4"/>
  <c r="C14" i="4" s="1"/>
</calcChain>
</file>

<file path=xl/sharedStrings.xml><?xml version="1.0" encoding="utf-8"?>
<sst xmlns="http://schemas.openxmlformats.org/spreadsheetml/2006/main" count="949" uniqueCount="145">
  <si>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</si>
  <si>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</si>
  <si>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</si>
  <si>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</si>
  <si>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</si>
  <si>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</si>
  <si>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</si>
  <si>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</si>
  <si>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</si>
  <si>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</si>
  <si>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</si>
  <si>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</si>
  <si>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</si>
  <si>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</si>
  <si>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</si>
  <si>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</si>
  <si>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</si>
  <si>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</si>
  <si>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</si>
  <si>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</si>
  <si>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</si>
  <si>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</si>
  <si>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</si>
  <si>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</si>
  <si>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</si>
  <si>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</si>
  <si>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</si>
  <si>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</si>
  <si>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</si>
  <si>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</si>
  <si>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</si>
  <si>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</si>
  <si>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</si>
  <si>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</si>
  <si>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</si>
  <si>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</si>
  <si>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</si>
  <si>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</si>
  <si>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</si>
  <si>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</si>
  <si>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</si>
  <si>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</si>
  <si>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</si>
  <si>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</si>
  <si>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</si>
  <si>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</si>
  <si>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</si>
  <si>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</si>
  <si>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</si>
  <si>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Trimestral de las Metas Físicas-Financieras</t>
  </si>
  <si>
    <t>Ser un referente internacional en la gestión de un modelo de movilidad terrestre sostenible, eficiente, accesible y seguro contribuyendo a mejorar la calidad de vida de los ciudadanos.</t>
  </si>
  <si>
    <t>Instituto Nacional de Transito y Transporte Terrestre</t>
  </si>
  <si>
    <t>Ciudadanos reciben licencia de conducir</t>
  </si>
  <si>
    <t>Es la entrega del documento que autoriza a ciudadanos dominicanos y a  extranjeros  a conducir 
en la República Dominicana</t>
  </si>
  <si>
    <t>I -Información Institucional</t>
  </si>
  <si>
    <t>Cantidad de servicios de licencias emitidas.</t>
  </si>
  <si>
    <t>Reducción de las muertes y morbilidad asociadas a los siniestros viales</t>
  </si>
  <si>
    <t>5182-Instituto Nacional de Transito y Transporte Terrestre</t>
  </si>
  <si>
    <t>Dentro de las actividades que se ejecutan en este programa podemos destacar las siguientes: regularización el transito y el transporte terrestre; la gestión de las licencias de operaciones de transporte de carga y la gestión de las licencias de operaciones  de transportes de pasajeros.</t>
  </si>
  <si>
    <t>Gestionar la rectoría nacional de la movilidad, el transporte terrestre, el tránsito y la seguridad vial, con un enfoque integral para la transformación de los diferentes sectores, requeridos para el desarrollo socioeconómico de la República Dominicana.</t>
  </si>
  <si>
    <t>Gestionar la rectoría nacional de la movilidad, el transporte terrestre, el tránsito y la seguridad vial, con un enfoque integral para la transformación de los diferentes sectores, requeridos para el desarrollo socioeconómico de la República Dominicana</t>
  </si>
  <si>
    <t>Licencias de operaciones otorgadas</t>
  </si>
  <si>
    <t xml:space="preserve">Empresas Transportistas reciben Licencias de operaciones de transporte de pasajeros </t>
  </si>
  <si>
    <t>Son las autorizaciones otorgadas a los prestadores de servicios de transporte de pasajeros para sus operaciones.</t>
  </si>
  <si>
    <t>Ciudadanos, Empresas y Operadores de Transporte</t>
  </si>
  <si>
    <t>Son las identificaciones colocadas a los vehículos registrados que brindan sus servicios al transporte público y privado.</t>
  </si>
  <si>
    <t>Prestadores de servicio de transporte de pasajero reciben rótulos para sus vehículos</t>
  </si>
  <si>
    <t>Empresas Transportistas reciben Licencias de operaciones de transporte de carga.</t>
  </si>
  <si>
    <t>Son las autorizaciones otorgadas a los prestadores de servicios de transporte de carga para sus operaciones.</t>
  </si>
  <si>
    <t>cantidad de inspecciones técnica realizadas</t>
  </si>
  <si>
    <t>Ciudadanos reciben campañas educativas de seguridad vial</t>
  </si>
  <si>
    <t>cantidad campañas educativas de SV</t>
  </si>
  <si>
    <t>Son esfuerzos de informar y persuadir o motivar a las personas en procura de cambiar sus creencias y conductas para mejorar la seguridad vial en general, por medio de actividades de comunicación.</t>
  </si>
  <si>
    <t>Personas reciben eventos promocionales de la seguridad vial</t>
  </si>
  <si>
    <t>cantidad de eventos realizados</t>
  </si>
  <si>
    <t>Sumatoria de personas capacitados en programa de conciencia vial</t>
  </si>
  <si>
    <t>Son esfuerzos (talleres, Charlas, Seminarios, Diplomados entre otros) de informar, persuadir o motivar a las personas en procura de cambiar sus creencias y conductas para mejorar la seguridad vial en general por medio de actividades de comunicación.</t>
  </si>
  <si>
    <t>Cantidad de ciudadanos impactados por la capacitación sobre movilidad, transito, transporte y seguridad vial.</t>
  </si>
  <si>
    <t>Procesos formativos en materia de educación vial</t>
  </si>
  <si>
    <t xml:space="preserve">Mototaxistas regulados reciben capacitación en seguridad vial					
					</t>
  </si>
  <si>
    <t xml:space="preserve">Sumatoria de  mototaxistas  capacitados  					</t>
  </si>
  <si>
    <t xml:space="preserve">Es el programa formativo en temas de seguridad vial a los Motos taxista con el objetivo de disminuir la tasa de mortalidad y las infracciones de tránsito					
					</t>
  </si>
  <si>
    <t xml:space="preserve">Diseño de corredores integrados al sistema de transporte público, sostenible y al alcance de los usuarios en el Gran Santo Domingo y Santiago					
					</t>
  </si>
  <si>
    <t xml:space="preserve">Cantidad de diseños de Corredores  Integrados al Sistema 								</t>
  </si>
  <si>
    <t xml:space="preserve">Instituciones públicas y operadores de transporte reciben diseños de corredores 									
					</t>
  </si>
  <si>
    <t xml:space="preserve">Corredores integrados al Sistema 										</t>
  </si>
  <si>
    <t xml:space="preserve">Usuarios del sistema de transporte público de pasajeros cuentan con corredores integrados al servicio de la ciudadanía	</t>
  </si>
  <si>
    <t xml:space="preserve">La implementación de infraestructura y señalización de los corredores fortalecerá el sistema de transporte 					
					</t>
  </si>
  <si>
    <t xml:space="preserve">Alcaldías reciben asistencias técnicas en materia de movilidad y tránsito					
						</t>
  </si>
  <si>
    <t xml:space="preserve">Consiste en brindar asistencia técnica en los municipios para fortalecer las capacidades técnicas del personal de las alcaldías y los distritos municipales					
					</t>
  </si>
  <si>
    <t xml:space="preserve">Estos planes buscan reducir la mortalidad y viabilizar el tránsito, atendiendo los y los planes de los diferentes municipios y distritos municipales					
					</t>
  </si>
  <si>
    <t xml:space="preserve">Cantidad de municipios con Planes de Movilidad 												</t>
  </si>
  <si>
    <t>Ciudadanos, Operadores del Sector Transporte, Sector Público y Sector Privado.</t>
  </si>
  <si>
    <t>Cantidad de unidades rotuladas</t>
  </si>
  <si>
    <t>12-Seguridad Vial Integral y Movilidad Sostenible</t>
  </si>
  <si>
    <t>11-Transporte y Transito Terrestre</t>
  </si>
  <si>
    <t>Conductores reciben inspección técnica vehicular</t>
  </si>
  <si>
    <t>vehículos de motor reciben inspección técnica vehicular: tiene por objeto comprobar si los mismos cumplen las condiciones técnicas exigidas por la Ley 63-17 y la Normativa Técnica para su circulación por las vías pública</t>
  </si>
  <si>
    <t>Realización del diseño para la campaña</t>
  </si>
  <si>
    <t>Son eventos que se efectúan con la objetivo de promocionar la seguridad vial.</t>
  </si>
  <si>
    <t>Conductores, Peatones y Usuarios de transporte masivo de pasajeros reciben educación vial</t>
  </si>
  <si>
    <t>Población recibe cursos y talleres de educación y formación vial</t>
  </si>
  <si>
    <t xml:space="preserve">Cantidad de Asistencias Técnicas Realizadas								</t>
  </si>
  <si>
    <t>3.3.6</t>
  </si>
  <si>
    <t>Director de Planificación  y Desarrollo.</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</si>
  <si>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</si>
  <si>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 xml:space="preserve">Licdo. Waldys Robles </t>
  </si>
  <si>
    <t>6916-Prestadores de servicio reciben permisos de operación de transporte de  pasajeros.</t>
  </si>
  <si>
    <t>Programación Trimestral</t>
  </si>
  <si>
    <t>Ejecución Trimestral</t>
  </si>
  <si>
    <t>6917-Prestadores de servicio de transporte de pasajero reciben rótulos para sus vehículos</t>
  </si>
  <si>
    <t xml:space="preserve">6924-Mototaxistas regulados reciben capacitación en seguridad vial					
					</t>
  </si>
  <si>
    <t>6922-Conductores, Peatones y Usuarios de transporte masivo de pasajeros reciben educación vial</t>
  </si>
  <si>
    <t xml:space="preserve">6925-Instituciones públicas y operadores de transporte reciben diseños de corredores 					
					</t>
  </si>
  <si>
    <t xml:space="preserve">6927-Usuarios del sistema de transporte público de pasajeros cuentan con corredores integrados al servicio de la ciudadanía					
					</t>
  </si>
  <si>
    <t xml:space="preserve">6928-Alcaldías reciben asistencias técnicas en materia de movilidad y tránsito					
					</t>
  </si>
  <si>
    <t xml:space="preserve">6929-Alcaldías reciben Planes de Movilidad de sus respectivos Gobiernos Locales					
					</t>
  </si>
  <si>
    <r>
      <t xml:space="preserve"> </t>
    </r>
    <r>
      <rPr>
        <b/>
        <i/>
        <sz val="11"/>
        <color theme="1"/>
        <rFont val="Calibri"/>
        <family val="2"/>
        <scheme val="minor"/>
      </rPr>
      <t>Desvío Ejecución Física:</t>
    </r>
    <r>
      <rPr>
        <i/>
        <sz val="11"/>
        <color theme="1"/>
        <rFont val="Calibri"/>
        <family val="2"/>
        <scheme val="minor"/>
      </rPr>
      <t xml:space="preserve"> Este Servicio es a demanda de los operadores de servicios de transporte de pasajeros. La ejecución financiera: Esta relacionada con los servicios solicitados.           </t>
    </r>
  </si>
  <si>
    <t>6918-Prestadores de servicio reciben permisos de operación de transporte de carga.</t>
  </si>
  <si>
    <t>5879-Ciudadanos reciben licencia de conducir</t>
  </si>
  <si>
    <t>6919-Conductores reciben inspección técnica vehicular</t>
  </si>
  <si>
    <t>En el presupuesto 2023  se proyectó la producción de 20,000 rótulos pero debido diferentes situaciones no odtuvimos los logros deseados.</t>
  </si>
  <si>
    <r>
      <rPr>
        <b/>
        <i/>
        <sz val="11"/>
        <color theme="1"/>
        <rFont val="Calibri"/>
        <family val="2"/>
        <scheme val="minor"/>
      </rPr>
      <t xml:space="preserve">Desvío Ejecución Física: </t>
    </r>
    <r>
      <rPr>
        <i/>
        <sz val="11"/>
        <color theme="1"/>
        <rFont val="Calibri"/>
        <family val="2"/>
        <scheme val="minor"/>
      </rPr>
      <t xml:space="preserve">La ejecución física de este producto presenta una desviación negativa considerable, esto debido a que se arrastra una mala proyeccción de la producción esperada. En tanto a la dimensión financiera, el resultado no obtuvo la misma tendencia.                                                  </t>
    </r>
  </si>
  <si>
    <t xml:space="preserve">La digitalización del proceso de entrega de permisos ha permitido una reducción en los costos de operación de este producto, lo que ha representado una subejecución en el aspecto financiero. La facilidad que representa lo antes mencionado ha contribuido con el aumento de permisos de operaciones emitidos, esto se ve reflejado en la sobreejecución de la parte física del producto.                                                            </t>
  </si>
  <si>
    <t>En el presupuesto 2023 se proyectó la producción para el segundo trimestre de 92,472 permisos de operación de transporte de carga; en este periodo se  otorgaron 25,246 permisos equivalente al 114.24% de lo programado.</t>
  </si>
  <si>
    <t>La ejecución de este producto se ha visto afectada por la dificultad de coordinar las convocatorias a los mototaxistas.</t>
  </si>
  <si>
    <t>La ejecución de este producto se ha visto afectada por la dificultad de coordinar las convocatorias a los mototaxistas</t>
  </si>
  <si>
    <t>La ejecución física del producto de licencias de conducir mantuvo una tendencia al alta en el 2do trimestre, sobrepasando la programación esperada. En cuanto a la ejecución financiera, este producto trae consigo un arraste de la baja ejecución de fondos efectuadas en el primer trimestre del año.</t>
  </si>
  <si>
    <t xml:space="preserve">Se Presupuestó la emisión de 150,000 licencias de conducir para segundo trimestre del año, y se alcanzó un total de 187,256, lo que arroja un 124.84%. </t>
  </si>
  <si>
    <t>Se realizaron las inspecciones visuales a 1,506 unidades ya que tuvimos algunos inconvenientes en la planificación, la ejecución financiera fue debido a que el trimestre pasado no se pudo completar esta.</t>
  </si>
  <si>
    <t>6920-Ciudadanos reciben campañas educativas de seguridad vial</t>
  </si>
  <si>
    <t>6923-Población recibe cursos y talleres de educación y formación vial</t>
  </si>
  <si>
    <t>La ejecución financiera de las capacitaciones pudo optimizarse debido al cambio de modalidad en un número significativo de las formaciones impartidas</t>
  </si>
  <si>
    <t>La ejecución física, los talleres y formaciones contaron con un apoyo extraordinario, superando la meta de ciudadanos esperados.</t>
  </si>
  <si>
    <t>Fueron diseñados los corredores integrados al sistema de transporte público con una ejecución mayor que lo estipulado porque esos levantamientos fueron realizados en el año 2022 y en este trimestre se procedió a realizar los análisis de todos los datos que teníamos y realizamos toda la ejecución del año en este trimestre. En la parte financiera no tuvimos gastos porque no se han implementado.</t>
  </si>
  <si>
    <t xml:space="preserve">Fueron diseñados los corredores integrados al sistema de transporte público con una ejecución mayor que lo estipulado porque esos levantamientos fueron realizados en el año 2022 y en este trimestre se procedió a realizar los análisis de todos los datos que teníamos y realizamos toda la ejecución del año en este trimestre. </t>
  </si>
  <si>
    <t xml:space="preserve">Tres alcaldías recibieron asistencias técnicas de las 4 estimadas para este trimestre, la falta de coordinación con una cuarta alcaldía no nos permitió lograr el cumplimiento al 100% de lo planificado. </t>
  </si>
  <si>
    <t>Los costos operativos de estas asistencias se elevaron por encima de lo esperado, presentando así una desviasión negativa en el cumplimiento de la meta de este producto.</t>
  </si>
  <si>
    <t>La demanda de planes de movilidad por parte de las alcaldías y la oportuna respuesta de la dirección de movilidad, permitieron el cumplimiento por encima de los establecido en la programación física.</t>
  </si>
  <si>
    <t xml:space="preserve"> Estas asistencias no requirieron de ejecución financiera para el cumplimiento de este objetivo.</t>
  </si>
  <si>
    <t>Se otorgaron mas licencias de operación de la programadas.</t>
  </si>
  <si>
    <t>Se Programo 5,000 inspecciones técnica, y se realizaron un total de 1,506 lo que arroja un 30.12%. No obtuvimos los logros deseados.</t>
  </si>
  <si>
    <t>6921-Personas reciben eventos promocionales de la seguridad vial</t>
  </si>
  <si>
    <t>Los conductores, pasajeros y peatones desbordaron la demanda estimada para el trimestre, lo que a su ves elevó la ejecución financiera del producto.</t>
  </si>
  <si>
    <t xml:space="preserve">Debido a todas las capacitaciones impartidas nuestra ejecución financiera aumento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</si>
</sst>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sz val="11"/>
      <color rgb="FFFF0000"/>
      <name val="Calibri"/>
      <family val="2"/>
    </font>
    <font>
      <b/>
      <sz val="11"/>
      <name val="Calibri"/>
      <family val="2"/>
      <scheme val="minor"/>
    </font>
    <font>
      <i/>
      <sz val="11"/>
      <name val="Calibri"/>
      <family val="2"/>
      <scheme val="minor"/>
    </font>
    <font>
      <sz val="11"/>
      <name val="Calibri"/>
      <family val="2"/>
      <scheme val="minor"/>
    </font>
    <font>
      <sz val="11"/>
      <color theme="1"/>
      <name val="Calibri"/>
      <family val="2"/>
    </font>
    <font>
      <sz val="9"/>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7" fillId="0" borderId="28" xfId="0" applyNumberFormat="1" applyFont="1" applyBorder="1" applyAlignment="1" applyProtection="1">
      <alignment horizontal="center" vertical="center" wrapText="1" readingOrder="1"/>
      <protection locked="0"/>
    </xf>
    <xf numFmtId="168" fontId="17" fillId="0" borderId="28" xfId="0" applyNumberFormat="1" applyFont="1" applyBorder="1" applyAlignment="1" applyProtection="1">
      <alignment horizontal="center" vertical="center" wrapText="1" readingOrder="1"/>
      <protection locked="0"/>
    </xf>
    <xf numFmtId="10" fontId="11" fillId="0" borderId="0" xfId="0" applyNumberFormat="1" applyFont="1" applyProtection="1">
      <protection locked="0"/>
    </xf>
    <xf numFmtId="10" fontId="0" fillId="0" borderId="0" xfId="0" applyNumberFormat="1"/>
    <xf numFmtId="0" fontId="25" fillId="0" borderId="0" xfId="0" applyFont="1" applyProtection="1">
      <protection locked="0"/>
    </xf>
    <xf numFmtId="0" fontId="24" fillId="0" borderId="0" xfId="0" applyFont="1"/>
    <xf numFmtId="10" fontId="25" fillId="0" borderId="0" xfId="0" applyNumberFormat="1" applyFont="1" applyProtection="1">
      <protection locked="0"/>
    </xf>
    <xf numFmtId="0" fontId="26" fillId="0" borderId="17" xfId="0" applyFont="1" applyBorder="1" applyAlignment="1" applyProtection="1">
      <alignment vertical="center" wrapText="1"/>
      <protection locked="0"/>
    </xf>
    <xf numFmtId="0" fontId="28" fillId="0" borderId="0" xfId="0" applyFont="1"/>
    <xf numFmtId="0" fontId="9" fillId="0" borderId="17" xfId="0" applyFont="1" applyBorder="1" applyAlignment="1" applyProtection="1">
      <alignment vertical="top" wrapText="1"/>
      <protection locked="0"/>
    </xf>
    <xf numFmtId="0" fontId="11" fillId="0" borderId="0" xfId="0" applyFont="1" applyAlignment="1" applyProtection="1">
      <alignment vertical="top"/>
      <protection locked="0"/>
    </xf>
    <xf numFmtId="0" fontId="0" fillId="0" borderId="0" xfId="0" applyAlignment="1">
      <alignment vertical="top"/>
    </xf>
    <xf numFmtId="168" fontId="17" fillId="0" borderId="28" xfId="0" applyNumberFormat="1" applyFont="1" applyBorder="1" applyAlignment="1" applyProtection="1">
      <alignment horizontal="center" vertical="center" wrapText="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protection locked="0"/>
    </xf>
    <xf numFmtId="167" fontId="17" fillId="7" borderId="25" xfId="0" applyNumberFormat="1" applyFont="1" applyFill="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10" fontId="0" fillId="0" borderId="0" xfId="0" applyNumberFormat="1" applyAlignment="1">
      <alignment horizontal="center" vertical="center"/>
    </xf>
    <xf numFmtId="0" fontId="0" fillId="0" borderId="0" xfId="0" applyAlignment="1">
      <alignment horizontal="center" vertical="center"/>
    </xf>
    <xf numFmtId="165" fontId="30" fillId="0" borderId="34" xfId="0" applyNumberFormat="1" applyFont="1" applyBorder="1" applyAlignment="1" applyProtection="1">
      <alignment horizontal="center"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29" fillId="9" borderId="25" xfId="1" applyNumberFormat="1" applyFont="1" applyFill="1" applyBorder="1" applyAlignment="1" applyProtection="1">
      <alignment horizontal="center" vertical="center" wrapText="1" readingOrder="1"/>
      <protection locked="0"/>
    </xf>
    <xf numFmtId="39" fontId="29" fillId="9" borderId="38" xfId="1" applyNumberFormat="1" applyFont="1" applyFill="1" applyBorder="1" applyAlignment="1" applyProtection="1">
      <alignment horizontal="center" vertical="center" wrapText="1" readingOrder="1"/>
      <protection locked="0"/>
    </xf>
    <xf numFmtId="39" fontId="29" fillId="9" borderId="24" xfId="1" applyNumberFormat="1" applyFont="1" applyFill="1" applyBorder="1" applyAlignment="1" applyProtection="1">
      <alignment horizontal="center" vertical="center" wrapText="1" readingOrder="1"/>
      <protection locked="0"/>
    </xf>
    <xf numFmtId="10" fontId="29" fillId="9" borderId="28" xfId="2" applyNumberFormat="1" applyFont="1" applyFill="1" applyBorder="1" applyAlignment="1" applyProtection="1">
      <alignment horizontal="center" vertical="center" wrapText="1" readingOrder="1"/>
    </xf>
    <xf numFmtId="10" fontId="29" fillId="9"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2" fillId="0" borderId="22" xfId="0" applyFont="1" applyBorder="1" applyAlignment="1" applyProtection="1">
      <alignment horizontal="left" vertical="top" wrapText="1"/>
      <protection locked="0"/>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39" fontId="29" fillId="9" borderId="27" xfId="1" applyNumberFormat="1" applyFont="1" applyFill="1" applyBorder="1" applyAlignment="1" applyProtection="1">
      <alignment horizontal="center" vertical="center" wrapText="1" readingOrder="1"/>
      <protection locked="0"/>
    </xf>
    <xf numFmtId="39" fontId="29" fillId="9" borderId="28" xfId="1" applyNumberFormat="1" applyFont="1" applyFill="1" applyBorder="1" applyAlignment="1" applyProtection="1">
      <alignment horizontal="center" vertical="center" wrapText="1" readingOrder="1"/>
      <protection locked="0"/>
    </xf>
    <xf numFmtId="0" fontId="27" fillId="0" borderId="0" xfId="0" applyFont="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22" fillId="0" borderId="0" xfId="0" applyFont="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3" fontId="22" fillId="0" borderId="0" xfId="0" applyNumberFormat="1" applyFont="1" applyAlignment="1" applyProtection="1">
      <alignment horizontal="left" vertical="center" wrapText="1"/>
      <protection locked="0"/>
    </xf>
    <xf numFmtId="0" fontId="0" fillId="0" borderId="36" xfId="0" applyBorder="1" applyAlignment="1">
      <alignment horizontal="center"/>
    </xf>
    <xf numFmtId="0" fontId="2" fillId="0" borderId="39" xfId="0" applyFont="1" applyBorder="1" applyAlignment="1">
      <alignment horizontal="center"/>
    </xf>
    <xf numFmtId="0" fontId="0" fillId="0" borderId="0" xfId="0" applyAlignment="1">
      <alignment horizontal="center" vertical="top" wrapText="1"/>
    </xf>
  </cellXfs>
  <cellStyles count="3">
    <cellStyle name="Millares" xfId="1" builtinId="3"/>
    <cellStyle name="Normal" xfId="0" builtinId="0"/>
    <cellStyle name="Porcentaje" xfId="2" builtinId="5"/>
  </cellStyles>
  <dxfs count="21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30B84FB-D276-4D98-B266-076FBF338B5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157A57-BA75-442E-836B-652D548FA29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7EF57868-7933-483D-9680-3F34E00BDFE4}"/>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9CF5E42-2DDD-4E1A-B7FF-A4DAA27490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4EEB8DE6-1B9C-47DE-9F8E-941C5DE91F86}"/>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6934D7-4E5F-433E-B91E-0F244C25AD3F}"/>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16EE867-5AD5-4B55-A10B-3F3A0FC0818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BF233FB-80D8-4977-A822-418929C0987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EFB50193-9B18-4762-AB8D-BC7303555DA8}"/>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CABD9FB-F12F-4EE9-BCF2-7968AA7CDBF9}"/>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3DC1EE4-9DA9-49AF-8422-1543A1D5AF5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A96776E2-C589-49E2-BD06-D83A94ADD0BC}"/>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29F358C-3C1B-4956-933D-D5EC36EEA8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D63DC3F3-E000-49A0-BA4B-1F692487DBD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6" name="Tabla17" displayName="Tabla17" ref="A28:J30" totalsRowShown="0" headerRowDxfId="209" dataDxfId="207" headerRowBorderDxfId="208" tableBorderDxfId="206" totalsRowBorderDxfId="205">
  <tableColumns count="10">
    <tableColumn id="1" name="Producto" dataDxfId="204"/>
    <tableColumn id="2" name="Indicador" dataDxfId="203"/>
    <tableColumn id="3" name="Física_x000a_(A)" dataDxfId="202"/>
    <tableColumn id="4" name="Financiera_x000a_(B)" dataDxfId="201"/>
    <tableColumn id="9" name="Física_x000a_(C)" dataDxfId="200"/>
    <tableColumn id="10" name="Financiera_x000a_(D)" dataDxfId="199"/>
    <tableColumn id="5" name="Física _x000a_(E)" dataDxfId="198"/>
    <tableColumn id="6" name="Financiera _x000a_ (F)" dataDxfId="197"/>
    <tableColumn id="7" name="Física _x000a_(%)_x000a_ G=E/C" dataDxfId="196">
      <calculatedColumnFormula>+Tabla17[[#This Row],[Física 
(E)]]/Tabla17[[#This Row],[Física
(C)]]</calculatedColumnFormula>
    </tableColumn>
    <tableColumn id="8" name="Financiero _x000a_(%) _x000a_H=F/D" dataDxfId="195">
      <calculatedColumnFormula>+Tabla17[[#This Row],[Financiera 
 (F)]]/Tabla17[[#This Row],[Financiera
(D)]]</calculatedColumnFormula>
    </tableColumn>
  </tableColumns>
  <tableStyleInfo name="Estilo de tabla 1" showFirstColumn="0" showLastColumn="0" showRowStripes="1" showColumnStripes="0"/>
</table>
</file>

<file path=xl/tables/table10.xml><?xml version="1.0" encoding="utf-8"?>
<table xmlns="http://schemas.openxmlformats.org/spreadsheetml/2006/main" id="12" name="Tabla1345910111213" displayName="Tabla1345910111213"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calculatedColumnFormula>+Tabla1345910111213[[#This Row],[Física 
(E)]]/Tabla1345910111213[[#This Row],[Física
(C)]]</calculatedColumnFormula>
    </tableColumn>
    <tableColumn id="8" name="Financiero _x000a_(%) _x000a_H=F/D" dataDxfId="60">
      <calculatedColumnFormula>+Tabla1345910111213[[#This Row],[Financiera 
 (F)]]/Tabla1345910111213[[#This Row],[Financiera
(D)]]</calculatedColumnFormula>
    </tableColumn>
  </tableColumns>
  <tableStyleInfo name="Estilo de tabla 1" showFirstColumn="0" showLastColumn="0" showRowStripes="1" showColumnStripes="0"/>
</table>
</file>

<file path=xl/tables/table11.xml><?xml version="1.0" encoding="utf-8"?>
<table xmlns="http://schemas.openxmlformats.org/spreadsheetml/2006/main" id="14" name="Tabla13459101112131415" displayName="Tabla13459101112131415"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calculatedColumnFormula>+Tabla13459101112131415[[#This Row],[Física 
(E)]]/Tabla13459101112131415[[#This Row],[Física
(C)]]</calculatedColumnFormula>
    </tableColumn>
    <tableColumn id="8" name="Financiero _x000a_(%) _x000a_H=F/D" dataDxfId="45">
      <calculatedColumnFormula>+Tabla13459101112131415[[#This Row],[Financiera 
 (F)]]/Tabla13459101112131415[[#This Row],[Financiera
(D)]]</calculatedColumnFormula>
    </tableColumn>
  </tableColumns>
  <tableStyleInfo name="Estilo de tabla 1" showFirstColumn="0" showLastColumn="0" showRowStripes="1" showColumnStripes="0"/>
</table>
</file>

<file path=xl/tables/table12.xml><?xml version="1.0" encoding="utf-8"?>
<table xmlns="http://schemas.openxmlformats.org/spreadsheetml/2006/main" id="15" name="Tabla1345910111213141516" displayName="Tabla13459101112131415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calculatedColumnFormula>+Tabla1345910111213141516[[#This Row],[Física 
(E)]]/Tabla1345910111213141516[[#This Row],[Física
(C)]]</calculatedColumnFormula>
    </tableColumn>
    <tableColumn id="8" name="Financiero _x000a_(%) _x000a_H=F/D" dataDxfId="30">
      <calculatedColumnFormula>+Tabla1345910111213141516[[#This Row],[Financiera 
 (F)]]/Tabla1345910111213141516[[#This Row],[Financiera
(D)]]</calculatedColumnFormula>
    </tableColumn>
  </tableColumns>
  <tableStyleInfo name="Estilo de tabla 1" showFirstColumn="0" showLastColumn="0" showRowStripes="1" showColumnStripes="0"/>
</table>
</file>

<file path=xl/tables/table13.xml><?xml version="1.0" encoding="utf-8"?>
<table xmlns="http://schemas.openxmlformats.org/spreadsheetml/2006/main" id="16" name="Tabla134591011121314151617" displayName="Tabla134591011121314151617"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calculatedColumnFormula>+Tabla134591011121314151617[[#This Row],[Física 
(E)]]/Tabla134591011121314151617[[#This Row],[Física
(C)]]</calculatedColumnFormula>
    </tableColumn>
    <tableColumn id="8" name="Financiero _x000a_(%) _x000a_H=F/D" dataDxfId="15">
      <calculatedColumnFormula>+Tabla134591011121314151617[[#This Row],[Financiera 
 (F)]]/Tabla134591011121314151617[[#This Row],[Financiera
(D)]]</calculatedColumnFormula>
    </tableColumn>
  </tableColumns>
  <tableStyleInfo name="Estilo de tabla 1" showFirstColumn="0" showLastColumn="0" showRowStripes="1" showColumnStripes="0"/>
</table>
</file>

<file path=xl/tables/table14.xml><?xml version="1.0" encoding="utf-8"?>
<table xmlns="http://schemas.openxmlformats.org/spreadsheetml/2006/main" id="17" name="Tabla13459101112131415161718" displayName="Tabla13459101112131415161718"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+Tabla13459101112131415161718[[#This Row],[Física 
(E)]]/Tabla13459101112131415161718[[#This Row],[Física
(C)]]</calculatedColumnFormula>
    </tableColumn>
    <tableColumn id="8" name="Financiero _x000a_(%) _x000a_H=F/D" dataDxfId="0">
      <calculatedColumnFormula>+Tabla13459101112131415161718[[#This Row],[Financiera 
 (F)]]/Tabla13459101112131415161718[[#This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5" name="Tabla176" displayName="Tabla176" ref="A28:J30" totalsRowShown="0" headerRowDxfId="194" dataDxfId="192" headerRowBorderDxfId="193" tableBorderDxfId="191" totalsRowBorderDxfId="190">
  <tableColumns count="10">
    <tableColumn id="1" name="Producto" dataDxfId="189"/>
    <tableColumn id="2" name="Indicador" dataDxfId="188"/>
    <tableColumn id="3" name="Física_x000a_(A)" dataDxfId="187"/>
    <tableColumn id="4" name="Financiera_x000a_(B)" dataDxfId="186"/>
    <tableColumn id="9" name="Física_x000a_(C)" dataDxfId="185"/>
    <tableColumn id="10" name="Financiera_x000a_(D)" dataDxfId="184"/>
    <tableColumn id="5" name="Física _x000a_(E)" dataDxfId="183"/>
    <tableColumn id="6" name="Financiera _x000a_ (F)" dataDxfId="182"/>
    <tableColumn id="7" name="Física _x000a_(%)_x000a_ G=E/C" dataDxfId="181">
      <calculatedColumnFormula>+Tabla176[[#This Row],[Física 
(E)]]/Tabla176[[#This Row],[Física
(C)]]</calculatedColumnFormula>
    </tableColumn>
    <tableColumn id="8" name="Financiero _x000a_(%) _x000a_H=F/D" dataDxfId="180">
      <calculatedColumnFormula>Tabla176[[#This Row],[Financiera 
 (F)]]/Tabla176[[#This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7" name="Tabla18" displayName="Tabla18" ref="A28:J30" totalsRowShown="0" headerRowDxfId="179" dataDxfId="177" headerRowBorderDxfId="178" tableBorderDxfId="176" totalsRowBorderDxfId="175">
  <tableColumns count="10">
    <tableColumn id="1" name="Producto" dataDxfId="174"/>
    <tableColumn id="2" name="Indicador" dataDxfId="173"/>
    <tableColumn id="3" name="Física_x000a_(A)" dataDxfId="172"/>
    <tableColumn id="4" name="Financiera_x000a_(B)" dataDxfId="171"/>
    <tableColumn id="9" name="Física_x000a_(C)" dataDxfId="170"/>
    <tableColumn id="10" name="Financiera_x000a_(D)" dataDxfId="169"/>
    <tableColumn id="5" name="Física _x000a_(E)" dataDxfId="168"/>
    <tableColumn id="6" name="Financiera _x000a_ (F)" dataDxfId="167"/>
    <tableColumn id="7" name="Física _x000a_(%)_x000a_ G=E/C" dataDxfId="166">
      <calculatedColumnFormula>IF(G29&gt;0,G29/C29,0)</calculatedColumnFormula>
    </tableColumn>
    <tableColumn id="8" name="Financiero _x000a_(%) _x000a_H=F/D" dataDxfId="165">
      <calculatedColumnFormula>IF(#REF!&gt;0,#REF!/D29,0)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3" name="Tabla134591011121314" displayName="Tabla134591011121314" ref="A28:J30" totalsRowShown="0" headerRowDxfId="164" dataDxfId="162" headerRowBorderDxfId="163" tableBorderDxfId="161" totalsRowBorderDxfId="160">
  <tableColumns count="10">
    <tableColumn id="1" name="Producto" dataDxfId="159"/>
    <tableColumn id="2" name="Indicador" dataDxfId="158"/>
    <tableColumn id="3" name="Física_x000a_(A)" dataDxfId="157"/>
    <tableColumn id="4" name="Financiera_x000a_(B)" dataDxfId="156"/>
    <tableColumn id="9" name="Física_x000a_(C)" dataDxfId="155"/>
    <tableColumn id="10" name="Financiera_x000a_(D)" dataDxfId="154"/>
    <tableColumn id="5" name="Física _x000a_(E)" dataDxfId="153"/>
    <tableColumn id="6" name="Financiera _x000a_ (F)" dataDxfId="152"/>
    <tableColumn id="7" name="Física _x000a_(%)_x000a_ G=E/C" dataDxfId="151">
      <calculatedColumnFormula>+Tabla134591011121314[[#This Row],[Física 
(E)]]/Tabla134591011121314[[#This Row],[Física
(C)]]</calculatedColumnFormula>
    </tableColumn>
    <tableColumn id="8" name="Financiero _x000a_(%) _x000a_H=F/D" dataDxfId="150">
      <calculatedColumnFormula>+Tabla134591011121314[[#This Row],[Financiera 
 (F)]]/Tabla134591011121314[[#This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345" displayName="Tabla1345" ref="A28:J30" totalsRowShown="0" headerRowDxfId="149" dataDxfId="147" headerRowBorderDxfId="148" tableBorderDxfId="146" totalsRowBorderDxfId="145">
  <tableColumns count="10">
    <tableColumn id="1" name="Producto" dataDxfId="144"/>
    <tableColumn id="2" name="Indicador" dataDxfId="143"/>
    <tableColumn id="3" name="Física_x000a_(A)" dataDxfId="142"/>
    <tableColumn id="4" name="Financiera_x000a_(B)" dataDxfId="141"/>
    <tableColumn id="9" name="Física_x000a_(C)" dataDxfId="140"/>
    <tableColumn id="10" name="Financiera_x000a_(D)" dataDxfId="139"/>
    <tableColumn id="5" name="Física _x000a_(E)" dataDxfId="138"/>
    <tableColumn id="6" name="Financiera _x000a_ (F)" dataDxfId="137"/>
    <tableColumn id="7" name="Física _x000a_(%)_x000a_ G=E/C" dataDxfId="136">
      <calculatedColumnFormula>+Tabla1345[[#This Row],[Física 
(E)]]/Tabla1345[[#This Row],[Física
(C)]]</calculatedColumnFormula>
    </tableColumn>
    <tableColumn id="8" name="Financiero _x000a_(%) _x000a_H=F/D" dataDxfId="135">
      <calculatedColumnFormula>+Tabla1345[[#This Row],[Financiera 
 (F)]]/Tabla1345[[#This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id="8" name="Tabla13459" displayName="Tabla13459" ref="A28:J30" totalsRowShown="0" headerRowDxfId="134" dataDxfId="132" headerRowBorderDxfId="133" tableBorderDxfId="131" totalsRowBorderDxfId="130">
  <tableColumns count="10">
    <tableColumn id="1" name="Producto" dataDxfId="129"/>
    <tableColumn id="2" name="Indicador" dataDxfId="128"/>
    <tableColumn id="3" name="Física_x000a_(A)" dataDxfId="127"/>
    <tableColumn id="4" name="Financiera_x000a_(B)" dataDxfId="126"/>
    <tableColumn id="9" name="Física_x000a_(C)" dataDxfId="125"/>
    <tableColumn id="10" name="Financiera_x000a_(D)" dataDxfId="124"/>
    <tableColumn id="5" name="Física _x000a_(E)" dataDxfId="123"/>
    <tableColumn id="6" name="Financiera _x000a_ (F)" dataDxfId="122"/>
    <tableColumn id="7" name="Física _x000a_(%)_x000a_ G=E/C" dataDxfId="121">
      <calculatedColumnFormula>+Tabla13459[[#This Row],[Física 
(E)]]/Tabla13459[[#This Row],[Física
(C)]]</calculatedColumnFormula>
    </tableColumn>
    <tableColumn id="8" name="Financiero _x000a_(%) _x000a_H=F/D" dataDxfId="120">
      <calculatedColumnFormula>+Tabla13459[[#This Row],[Financiera 
 (F)]]/Tabla13459[[#This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id="9" name="Tabla1345910" displayName="Tabla1345910" ref="A28:J30" totalsRowShown="0" headerRowDxfId="119" dataDxfId="117" headerRowBorderDxfId="118" tableBorderDxfId="116" totalsRowBorderDxfId="115">
  <tableColumns count="10">
    <tableColumn id="1" name="Producto" dataDxfId="114"/>
    <tableColumn id="2" name="Indicador" dataDxfId="113"/>
    <tableColumn id="3" name="Física_x000a_(A)" dataDxfId="112"/>
    <tableColumn id="4" name="Financiera_x000a_(B)" dataDxfId="111"/>
    <tableColumn id="9" name="Física_x000a_(C)" dataDxfId="110"/>
    <tableColumn id="10" name="Financiera_x000a_(D)" dataDxfId="109"/>
    <tableColumn id="5" name="Física _x000a_(E)" dataDxfId="108"/>
    <tableColumn id="6" name="Financiera _x000a_ (F)" dataDxfId="107"/>
    <tableColumn id="7" name="Física _x000a_(%)_x000a_ G=E/C" dataDxfId="106">
      <calculatedColumnFormula>+Tabla1345910[[#This Row],[Física 
(E)]]/Tabla1345910[[#This Row],[Física
(C)]]</calculatedColumnFormula>
    </tableColumn>
    <tableColumn id="8" name="Financiero _x000a_(%) _x000a_H=F/D" dataDxfId="105">
      <calculatedColumnFormula>+Tabla1345910[[#This Row],[Financiera 
 (F)]]/Tabla1345910[[#This Row],[Financiera
(D)]]</calculatedColumnFormula>
    </tableColumn>
  </tableColumns>
  <tableStyleInfo name="Estilo de tabla 1" showFirstColumn="0" showLastColumn="0" showRowStripes="1" showColumnStripes="0"/>
</table>
</file>

<file path=xl/tables/table8.xml><?xml version="1.0" encoding="utf-8"?>
<table xmlns="http://schemas.openxmlformats.org/spreadsheetml/2006/main" id="10" name="Tabla134591011" displayName="Tabla134591011" ref="A28:J30" totalsRowShown="0" headerRowDxfId="104" dataDxfId="102" headerRowBorderDxfId="103" tableBorderDxfId="101" totalsRowBorderDxfId="100">
  <tableColumns count="10">
    <tableColumn id="1" name="Producto" dataDxfId="99"/>
    <tableColumn id="2" name="Indicador" dataDxfId="98"/>
    <tableColumn id="3" name="Física_x000a_(A)" dataDxfId="97"/>
    <tableColumn id="4" name="Financiera_x000a_(B)" dataDxfId="96"/>
    <tableColumn id="9" name="Física_x000a_(C)" dataDxfId="95"/>
    <tableColumn id="10" name="Financiera_x000a_(D)" dataDxfId="94"/>
    <tableColumn id="5" name="Física _x000a_(E)" dataDxfId="93"/>
    <tableColumn id="6" name="Financiera _x000a_ (F)" dataDxfId="92"/>
    <tableColumn id="7" name="Física _x000a_(%)_x000a_ G=E/C" dataDxfId="91">
      <calculatedColumnFormula>+Tabla134591011[[#This Row],[Física 
(E)]]/Tabla134591011[[#This Row],[Física
(C)]]</calculatedColumnFormula>
    </tableColumn>
    <tableColumn id="8" name="Financiero _x000a_(%) _x000a_H=F/D" dataDxfId="90">
      <calculatedColumnFormula>+Tabla134591011[[#This Row],[Financiera 
 (F)]]/Tabla134591011[[#This Row],[Financiera
(D)]]</calculatedColumnFormula>
    </tableColumn>
  </tableColumns>
  <tableStyleInfo name="Estilo de tabla 1" showFirstColumn="0" showLastColumn="0" showRowStripes="1" showColumnStripes="0"/>
</table>
</file>

<file path=xl/tables/table9.xml><?xml version="1.0" encoding="utf-8"?>
<table xmlns="http://schemas.openxmlformats.org/spreadsheetml/2006/main" id="11" name="Tabla13459101112" displayName="Tabla13459101112" ref="A28:J30" totalsRowShown="0" headerRowDxfId="89" dataDxfId="87" headerRowBorderDxfId="88" tableBorderDxfId="86" totalsRowBorderDxfId="85">
  <tableColumns count="10">
    <tableColumn id="1" name="Producto" dataDxfId="84"/>
    <tableColumn id="2" name="Indicador" dataDxfId="83"/>
    <tableColumn id="3" name="Física_x000a_(A)" dataDxfId="82"/>
    <tableColumn id="4" name="Financiera_x000a_(B)" dataDxfId="81"/>
    <tableColumn id="9" name="Física_x000a_(C)" dataDxfId="80"/>
    <tableColumn id="10" name="Financiera_x000a_(D)" dataDxfId="79"/>
    <tableColumn id="5" name="Física _x000a_(E)" dataDxfId="78"/>
    <tableColumn id="6" name="Financiera _x000a_ (F)" dataDxfId="77"/>
    <tableColumn id="7" name="Física _x000a_(%)_x000a_ G=E/C" dataDxfId="76">
      <calculatedColumnFormula>+Tabla13459101112[[#This Row],[Física 
(E)]]/Tabla13459101112[[#This Row],[Física
(C)]]</calculatedColumnFormula>
    </tableColumn>
    <tableColumn id="8" name="Financiero _x000a_(%) _x000a_H=F/D" dataDxfId="75">
      <calculatedColumnFormula>+Tabla13459101112[[#This Row],[Financiera 
 (F)]]/Tabla13459101112[[#This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abSelected="1" zoomScale="115" zoomScaleNormal="115" zoomScaleSheetLayoutView="130" zoomScalePageLayoutView="85" workbookViewId="0">
      <selection activeCell="H29" sqref="H2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30" customHeight="1"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31.5" customHeight="1" x14ac:dyDescent="0.25">
      <c r="A11" s="4" t="s">
        <v>7</v>
      </c>
      <c r="B11" s="83" t="s">
        <v>59</v>
      </c>
      <c r="C11" s="83"/>
      <c r="D11" s="83"/>
      <c r="E11" s="83"/>
      <c r="F11" s="83"/>
      <c r="G11" s="83"/>
      <c r="H11" s="83"/>
      <c r="I11" s="83"/>
      <c r="J11" s="83"/>
    </row>
    <row r="12" spans="1:11" ht="41.25" customHeight="1" x14ac:dyDescent="0.25">
      <c r="A12" s="4" t="s">
        <v>8</v>
      </c>
      <c r="B12" s="83" t="s">
        <v>50</v>
      </c>
      <c r="C12" s="83"/>
      <c r="D12" s="83"/>
      <c r="E12" s="83"/>
      <c r="F12" s="83"/>
      <c r="G12" s="83"/>
      <c r="H12" s="83"/>
      <c r="I12" s="83"/>
      <c r="J12" s="83"/>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1.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1" ht="15.75" x14ac:dyDescent="0.25">
      <c r="A17" s="67" t="s">
        <v>13</v>
      </c>
      <c r="B17" s="68"/>
      <c r="C17" s="68"/>
      <c r="D17" s="68"/>
      <c r="E17" s="68"/>
      <c r="F17" s="68"/>
      <c r="G17" s="68"/>
      <c r="H17" s="68"/>
      <c r="I17" s="68"/>
      <c r="J17" s="69"/>
    </row>
    <row r="18" spans="1:11" ht="29.25" customHeight="1" x14ac:dyDescent="0.25">
      <c r="A18" s="4" t="s">
        <v>14</v>
      </c>
      <c r="B18" s="65" t="s">
        <v>95</v>
      </c>
      <c r="C18" s="65"/>
      <c r="D18" s="65"/>
      <c r="E18" s="65"/>
      <c r="F18" s="65"/>
      <c r="G18" s="65"/>
      <c r="H18" s="65"/>
      <c r="I18" s="65"/>
      <c r="J18" s="66"/>
    </row>
    <row r="19" spans="1:11" ht="54" customHeight="1" x14ac:dyDescent="0.25">
      <c r="A19" s="9" t="s">
        <v>15</v>
      </c>
      <c r="B19" s="65" t="s">
        <v>58</v>
      </c>
      <c r="C19" s="65"/>
      <c r="D19" s="65"/>
      <c r="E19" s="65"/>
      <c r="F19" s="65"/>
      <c r="G19" s="65"/>
      <c r="H19" s="65"/>
      <c r="I19" s="65"/>
      <c r="J19" s="66"/>
    </row>
    <row r="20" spans="1:11" ht="34.5" customHeight="1" x14ac:dyDescent="0.25">
      <c r="A20" s="9" t="s">
        <v>16</v>
      </c>
      <c r="B20" s="65" t="s">
        <v>64</v>
      </c>
      <c r="C20" s="65"/>
      <c r="D20" s="65"/>
      <c r="E20" s="65"/>
      <c r="F20" s="65"/>
      <c r="G20" s="65"/>
      <c r="H20" s="65"/>
      <c r="I20" s="65"/>
      <c r="J20" s="66"/>
    </row>
    <row r="21" spans="1:11" ht="35.25" customHeight="1" x14ac:dyDescent="0.25">
      <c r="A21" s="9" t="s">
        <v>37</v>
      </c>
      <c r="B21" s="65"/>
      <c r="C21" s="65"/>
      <c r="D21" s="65"/>
      <c r="E21" s="65"/>
      <c r="F21" s="65"/>
      <c r="G21" s="65"/>
      <c r="H21" s="65"/>
      <c r="I21" s="65"/>
      <c r="J21" s="66"/>
      <c r="K21" s="1"/>
    </row>
    <row r="22" spans="1:11" ht="15.75" x14ac:dyDescent="0.25">
      <c r="A22" s="67" t="s">
        <v>17</v>
      </c>
      <c r="B22" s="68"/>
      <c r="C22" s="68"/>
      <c r="D22" s="68"/>
      <c r="E22" s="68"/>
      <c r="F22" s="68"/>
      <c r="G22" s="68"/>
      <c r="H22" s="68"/>
      <c r="I22" s="68"/>
      <c r="J22" s="69"/>
    </row>
    <row r="23" spans="1:11" ht="15.75" x14ac:dyDescent="0.25">
      <c r="A23" s="62" t="s">
        <v>18</v>
      </c>
      <c r="B23" s="63"/>
      <c r="C23" s="63"/>
      <c r="D23" s="63"/>
      <c r="E23" s="63"/>
      <c r="F23" s="63"/>
      <c r="G23" s="63"/>
      <c r="H23" s="63"/>
      <c r="I23" s="63"/>
      <c r="J23" s="64"/>
      <c r="K23" s="1"/>
    </row>
    <row r="24" spans="1:11" ht="15" customHeight="1" x14ac:dyDescent="0.25">
      <c r="A24" s="70" t="s">
        <v>19</v>
      </c>
      <c r="B24" s="71"/>
      <c r="C24" s="72" t="s">
        <v>20</v>
      </c>
      <c r="D24" s="73"/>
      <c r="E24" s="73"/>
      <c r="F24" s="73" t="s">
        <v>21</v>
      </c>
      <c r="G24" s="73"/>
      <c r="H24" s="71"/>
      <c r="I24" s="72" t="s">
        <v>22</v>
      </c>
      <c r="J24" s="74"/>
    </row>
    <row r="25" spans="1:11" s="38" customFormat="1" x14ac:dyDescent="0.25">
      <c r="A25" s="75">
        <v>500000</v>
      </c>
      <c r="B25" s="76"/>
      <c r="C25" s="75">
        <v>500000</v>
      </c>
      <c r="D25" s="76"/>
      <c r="E25" s="77"/>
      <c r="F25" s="75">
        <v>493345</v>
      </c>
      <c r="G25" s="76"/>
      <c r="H25" s="77"/>
      <c r="I25" s="78">
        <f>+F25/C25</f>
        <v>0.98668999999999996</v>
      </c>
      <c r="J25" s="79"/>
      <c r="K25" s="37"/>
    </row>
    <row r="26" spans="1:11" ht="15.75" x14ac:dyDescent="0.25">
      <c r="A26" s="62" t="s">
        <v>23</v>
      </c>
      <c r="B26" s="63"/>
      <c r="C26" s="63"/>
      <c r="D26" s="63"/>
      <c r="E26" s="63"/>
      <c r="F26" s="63"/>
      <c r="G26" s="63"/>
      <c r="H26" s="63"/>
      <c r="I26" s="63"/>
      <c r="J26" s="64"/>
      <c r="K26" s="1"/>
    </row>
    <row r="27" spans="1:11" x14ac:dyDescent="0.25">
      <c r="A27" s="5"/>
      <c r="B27"/>
      <c r="C27" s="80" t="s">
        <v>48</v>
      </c>
      <c r="D27" s="81"/>
      <c r="E27" s="80" t="s">
        <v>108</v>
      </c>
      <c r="F27" s="81"/>
      <c r="G27" s="80" t="s">
        <v>109</v>
      </c>
      <c r="H27" s="80"/>
      <c r="I27" s="80" t="s">
        <v>24</v>
      </c>
      <c r="J27" s="82"/>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61.5" customHeight="1" x14ac:dyDescent="0.25">
      <c r="A29" s="13" t="s">
        <v>107</v>
      </c>
      <c r="B29" s="14" t="s">
        <v>61</v>
      </c>
      <c r="C29" s="33">
        <v>100</v>
      </c>
      <c r="D29" s="15">
        <v>500000</v>
      </c>
      <c r="E29" s="15">
        <v>30</v>
      </c>
      <c r="F29" s="15">
        <v>125000</v>
      </c>
      <c r="G29" s="16">
        <v>58</v>
      </c>
      <c r="H29" s="15">
        <v>30030</v>
      </c>
      <c r="I29" s="17">
        <f>+Tabla17[[#This Row],[Física 
(E)]]/Tabla17[[#This Row],[Física
(C)]]</f>
        <v>1.9333333333333333</v>
      </c>
      <c r="J29" s="18">
        <f>+Tabla17[[#This Row],[Financiera 
 (F)]]/Tabla17[[#This Row],[Financiera
(D)]]</f>
        <v>0.24024000000000001</v>
      </c>
    </row>
    <row r="30" spans="1:11" x14ac:dyDescent="0.25">
      <c r="A30" s="19"/>
      <c r="B30" s="20"/>
      <c r="C30" s="21"/>
      <c r="D30" s="22"/>
      <c r="E30" s="22"/>
      <c r="F30" s="22"/>
      <c r="G30" s="23"/>
      <c r="H30" s="22"/>
      <c r="I30" s="17" t="e">
        <f>+Tabla17[[#This Row],[Física 
(E)]]/Tabla17[[#This Row],[Física
(C)]]</f>
        <v>#DIV/0!</v>
      </c>
      <c r="J30" s="18" t="e">
        <f>+Tabla17[[#This Row],[Financiera 
 (F)]]/Tabla17[[#This Row],[Financiera
(D)]]</f>
        <v>#DIV/0!</v>
      </c>
    </row>
    <row r="31" spans="1:11" ht="15.75" x14ac:dyDescent="0.25">
      <c r="A31" s="67" t="s">
        <v>27</v>
      </c>
      <c r="B31" s="68"/>
      <c r="C31" s="68"/>
      <c r="D31" s="68"/>
      <c r="E31" s="68"/>
      <c r="F31" s="68"/>
      <c r="G31" s="68"/>
      <c r="H31" s="68"/>
      <c r="I31" s="68"/>
      <c r="J31" s="69"/>
    </row>
    <row r="32" spans="1:11" ht="15.75" x14ac:dyDescent="0.25">
      <c r="A32" s="62" t="s">
        <v>28</v>
      </c>
      <c r="B32" s="63"/>
      <c r="C32" s="63"/>
      <c r="D32" s="63"/>
      <c r="E32" s="63"/>
      <c r="F32" s="63"/>
      <c r="G32" s="63"/>
      <c r="H32" s="63"/>
      <c r="I32" s="63"/>
      <c r="J32" s="64"/>
      <c r="K32" s="1"/>
    </row>
    <row r="33" spans="1:11" x14ac:dyDescent="0.25">
      <c r="A33" s="24" t="s">
        <v>29</v>
      </c>
      <c r="B33" s="65" t="s">
        <v>62</v>
      </c>
      <c r="C33" s="65"/>
      <c r="D33" s="65"/>
      <c r="E33" s="65"/>
      <c r="F33" s="65"/>
      <c r="G33" s="65"/>
      <c r="H33" s="65"/>
      <c r="I33" s="65"/>
      <c r="J33" s="66"/>
    </row>
    <row r="34" spans="1:11" ht="30" x14ac:dyDescent="0.25">
      <c r="A34" s="24" t="s">
        <v>30</v>
      </c>
      <c r="B34" s="65" t="s">
        <v>63</v>
      </c>
      <c r="C34" s="65"/>
      <c r="D34" s="65"/>
      <c r="E34" s="65"/>
      <c r="F34" s="65"/>
      <c r="G34" s="65"/>
      <c r="H34" s="65"/>
      <c r="I34" s="65"/>
      <c r="J34" s="66"/>
    </row>
    <row r="35" spans="1:11" ht="80.25" customHeight="1" x14ac:dyDescent="0.25">
      <c r="A35" s="24" t="s">
        <v>31</v>
      </c>
      <c r="B35" s="65" t="s">
        <v>140</v>
      </c>
      <c r="C35" s="65"/>
      <c r="D35" s="65"/>
      <c r="E35" s="65"/>
      <c r="F35" s="65"/>
      <c r="G35" s="65"/>
      <c r="H35" s="65"/>
      <c r="I35" s="65"/>
      <c r="J35" s="66"/>
    </row>
    <row r="36" spans="1:11" ht="82.5" customHeight="1" x14ac:dyDescent="0.25">
      <c r="A36" s="24" t="s">
        <v>32</v>
      </c>
      <c r="B36" s="65" t="s">
        <v>117</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t="s">
        <v>40</v>
      </c>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18" zoomScaleNormal="100" zoomScaleSheetLayoutView="100" workbookViewId="0">
      <selection activeCell="C29" sqref="C2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27"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500000</v>
      </c>
      <c r="B25" s="110"/>
      <c r="C25" s="111">
        <v>500000</v>
      </c>
      <c r="D25" s="112"/>
      <c r="E25" s="113"/>
      <c r="F25" s="111">
        <v>44300</v>
      </c>
      <c r="G25" s="112"/>
      <c r="H25" s="113"/>
      <c r="I25" s="114">
        <f>F25/C25</f>
        <v>8.8599999999999998E-2</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120" x14ac:dyDescent="0.25">
      <c r="A29" s="13" t="s">
        <v>131</v>
      </c>
      <c r="B29" s="14" t="s">
        <v>77</v>
      </c>
      <c r="C29" s="34">
        <v>130000</v>
      </c>
      <c r="D29" s="15">
        <v>500000</v>
      </c>
      <c r="E29" s="15">
        <v>30000</v>
      </c>
      <c r="F29" s="15">
        <v>125000</v>
      </c>
      <c r="G29" s="16">
        <v>33137</v>
      </c>
      <c r="H29" s="15">
        <v>44300</v>
      </c>
      <c r="I29" s="17">
        <f>+Tabla1345910111213[[#This Row],[Física 
(E)]]/Tabla1345910111213[[#This Row],[Física
(C)]]</f>
        <v>1.1045666666666667</v>
      </c>
      <c r="J29" s="18">
        <f>+Tabla1345910111213[[#This Row],[Financiera 
 (F)]]/Tabla1345910111213[[#This Row],[Financiera
(D)]]</f>
        <v>0.35439999999999999</v>
      </c>
      <c r="L29" s="36"/>
    </row>
    <row r="30" spans="1:12" x14ac:dyDescent="0.25">
      <c r="A30" s="19"/>
      <c r="B30" s="20"/>
      <c r="C30" s="21"/>
      <c r="D30" s="22"/>
      <c r="E30" s="22"/>
      <c r="F30" s="22"/>
      <c r="G30" s="23"/>
      <c r="H30" s="22"/>
      <c r="I30" s="17" t="e">
        <f>+Tabla1345910111213[[#This Row],[Física 
(E)]]/Tabla1345910111213[[#This Row],[Física
(C)]]</f>
        <v>#DIV/0!</v>
      </c>
      <c r="J30" s="18" t="e">
        <f>+Tabla1345910111213[[#This Row],[Financiera 
 (F)]]/Tabla1345910111213[[#This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101</v>
      </c>
      <c r="C33" s="65"/>
      <c r="D33" s="65"/>
      <c r="E33" s="65"/>
      <c r="F33" s="65"/>
      <c r="G33" s="65"/>
      <c r="H33" s="65"/>
      <c r="I33" s="65"/>
      <c r="J33" s="66"/>
    </row>
    <row r="34" spans="1:11" ht="30" x14ac:dyDescent="0.25">
      <c r="A34" s="24" t="s">
        <v>30</v>
      </c>
      <c r="B34" s="65" t="s">
        <v>78</v>
      </c>
      <c r="C34" s="65"/>
      <c r="D34" s="65"/>
      <c r="E34" s="65"/>
      <c r="F34" s="65"/>
      <c r="G34" s="65"/>
      <c r="H34" s="65"/>
      <c r="I34" s="65"/>
      <c r="J34" s="66"/>
    </row>
    <row r="35" spans="1:11" ht="85.5" customHeight="1" x14ac:dyDescent="0.25">
      <c r="A35" s="24" t="s">
        <v>31</v>
      </c>
      <c r="B35" s="65" t="s">
        <v>133</v>
      </c>
      <c r="C35" s="65"/>
      <c r="D35" s="65"/>
      <c r="E35" s="65"/>
      <c r="F35" s="65"/>
      <c r="G35" s="65"/>
      <c r="H35" s="65"/>
      <c r="I35" s="65"/>
      <c r="J35" s="66"/>
    </row>
    <row r="36" spans="1:11" ht="30" x14ac:dyDescent="0.25">
      <c r="A36" s="40" t="s">
        <v>32</v>
      </c>
      <c r="B36" s="107" t="s">
        <v>132</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14" zoomScaleNormal="100" zoomScaleSheetLayoutView="100" workbookViewId="0">
      <selection activeCell="I25" sqref="A25:J2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1.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200000</v>
      </c>
      <c r="B25" s="110"/>
      <c r="C25" s="111">
        <v>200000</v>
      </c>
      <c r="D25" s="112"/>
      <c r="E25" s="113"/>
      <c r="F25" s="111">
        <v>0</v>
      </c>
      <c r="G25" s="112"/>
      <c r="H25" s="113"/>
      <c r="I25" s="114">
        <f>F25/C25</f>
        <v>0</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113</v>
      </c>
      <c r="B29" s="14" t="s">
        <v>83</v>
      </c>
      <c r="C29" s="34">
        <v>15</v>
      </c>
      <c r="D29" s="15">
        <v>200000</v>
      </c>
      <c r="E29" s="15">
        <v>4</v>
      </c>
      <c r="F29" s="15">
        <v>50000</v>
      </c>
      <c r="G29" s="16">
        <v>8</v>
      </c>
      <c r="H29" s="15">
        <v>0</v>
      </c>
      <c r="I29" s="17">
        <f>+Tabla13459101112131415[[#This Row],[Física 
(E)]]/Tabla13459101112131415[[#This Row],[Física
(C)]]</f>
        <v>2</v>
      </c>
      <c r="J29" s="18">
        <f>+Tabla13459101112131415[[#This Row],[Financiera 
 (F)]]/Tabla13459101112131415[[#This Row],[Financiera
(D)]]</f>
        <v>0</v>
      </c>
      <c r="L29" s="36"/>
    </row>
    <row r="30" spans="1:12" x14ac:dyDescent="0.25">
      <c r="A30" s="19"/>
      <c r="B30" s="20"/>
      <c r="C30" s="21"/>
      <c r="D30" s="22"/>
      <c r="E30" s="22"/>
      <c r="F30" s="22"/>
      <c r="G30" s="23"/>
      <c r="H30" s="22"/>
      <c r="I30" s="17" t="e">
        <f>+Tabla13459101112131415[[#This Row],[Física 
(E)]]/Tabla13459101112131415[[#This Row],[Física
(C)]]</f>
        <v>#DIV/0!</v>
      </c>
      <c r="J30" s="18" t="e">
        <f>+Tabla13459101112131415[[#This Row],[Financiera 
 (F)]]/Tabla13459101112131415[[#This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84</v>
      </c>
      <c r="C33" s="65"/>
      <c r="D33" s="65"/>
      <c r="E33" s="65"/>
      <c r="F33" s="65"/>
      <c r="G33" s="65"/>
      <c r="H33" s="65"/>
      <c r="I33" s="65"/>
      <c r="J33" s="66"/>
    </row>
    <row r="34" spans="1:11" ht="30" x14ac:dyDescent="0.25">
      <c r="A34" s="24" t="s">
        <v>30</v>
      </c>
      <c r="B34" s="65" t="s">
        <v>82</v>
      </c>
      <c r="C34" s="65"/>
      <c r="D34" s="65"/>
      <c r="E34" s="65"/>
      <c r="F34" s="65"/>
      <c r="G34" s="65"/>
      <c r="H34" s="65"/>
      <c r="I34" s="65"/>
      <c r="J34" s="66"/>
    </row>
    <row r="35" spans="1:11" ht="85.5" customHeight="1" x14ac:dyDescent="0.25">
      <c r="A35" s="24" t="s">
        <v>31</v>
      </c>
      <c r="B35" s="65" t="s">
        <v>135</v>
      </c>
      <c r="C35" s="65"/>
      <c r="D35" s="65"/>
      <c r="E35" s="65"/>
      <c r="F35" s="65"/>
      <c r="G35" s="65"/>
      <c r="H35" s="65"/>
      <c r="I35" s="65"/>
      <c r="J35" s="66"/>
    </row>
    <row r="36" spans="1:11" ht="65.25" customHeight="1" x14ac:dyDescent="0.25">
      <c r="A36" s="40" t="s">
        <v>32</v>
      </c>
      <c r="B36" s="107" t="s">
        <v>134</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29" zoomScaleNormal="100" zoomScaleSheetLayoutView="100" workbookViewId="0">
      <selection activeCell="I25" sqref="A25:J2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1.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200000</v>
      </c>
      <c r="B25" s="110"/>
      <c r="C25" s="111">
        <v>200000</v>
      </c>
      <c r="D25" s="112"/>
      <c r="E25" s="113"/>
      <c r="F25" s="111">
        <v>6300</v>
      </c>
      <c r="G25" s="112"/>
      <c r="H25" s="113"/>
      <c r="I25" s="114">
        <f>F25/C25</f>
        <v>3.15E-2</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s="53" customFormat="1" ht="96" x14ac:dyDescent="0.25">
      <c r="A29" s="49" t="s">
        <v>114</v>
      </c>
      <c r="B29" s="50" t="s">
        <v>85</v>
      </c>
      <c r="C29" s="45">
        <v>10</v>
      </c>
      <c r="D29" s="46">
        <v>200000</v>
      </c>
      <c r="E29" s="46">
        <v>0</v>
      </c>
      <c r="F29" s="46">
        <v>0</v>
      </c>
      <c r="G29" s="16">
        <v>0</v>
      </c>
      <c r="H29" s="46">
        <v>0</v>
      </c>
      <c r="I29" s="47" t="e">
        <f>+Tabla1345910111213141516[[#This Row],[Física 
(E)]]/Tabla1345910111213141516[[#This Row],[Física
(C)]]</f>
        <v>#DIV/0!</v>
      </c>
      <c r="J29" s="48" t="e">
        <f>+Tabla1345910111213141516[[#This Row],[Financiera 
 (F)]]/Tabla1345910111213141516[[#This Row],[Financiera
(D)]]</f>
        <v>#DIV/0!</v>
      </c>
      <c r="K29" s="51"/>
      <c r="L29" s="52"/>
    </row>
    <row r="30" spans="1:12" x14ac:dyDescent="0.25">
      <c r="A30" s="19"/>
      <c r="B30" s="20"/>
      <c r="C30" s="21"/>
      <c r="D30" s="22"/>
      <c r="E30" s="22"/>
      <c r="F30" s="22"/>
      <c r="G30" s="23"/>
      <c r="H30" s="22"/>
      <c r="I30" s="17" t="e">
        <f>+Tabla1345910111213141516[[#This Row],[Física 
(E)]]/Tabla1345910111213141516[[#This Row],[Física
(C)]]</f>
        <v>#DIV/0!</v>
      </c>
      <c r="J30" s="18" t="e">
        <f>+Tabla1345910111213141516[[#This Row],[Financiera 
 (F)]]/Tabla1345910111213141516[[#This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86</v>
      </c>
      <c r="C33" s="65"/>
      <c r="D33" s="65"/>
      <c r="E33" s="65"/>
      <c r="F33" s="65"/>
      <c r="G33" s="65"/>
      <c r="H33" s="65"/>
      <c r="I33" s="65"/>
      <c r="J33" s="66"/>
    </row>
    <row r="34" spans="1:11" ht="30" x14ac:dyDescent="0.25">
      <c r="A34" s="24" t="s">
        <v>30</v>
      </c>
      <c r="B34" s="65" t="s">
        <v>87</v>
      </c>
      <c r="C34" s="65"/>
      <c r="D34" s="65"/>
      <c r="E34" s="65"/>
      <c r="F34" s="65"/>
      <c r="G34" s="65"/>
      <c r="H34" s="65"/>
      <c r="I34" s="65"/>
      <c r="J34" s="66"/>
    </row>
    <row r="35" spans="1:11" ht="85.5" customHeight="1" x14ac:dyDescent="0.25">
      <c r="A35" s="24" t="s">
        <v>31</v>
      </c>
      <c r="B35" s="65"/>
      <c r="C35" s="65"/>
      <c r="D35" s="65"/>
      <c r="E35" s="65"/>
      <c r="F35" s="65"/>
      <c r="G35" s="65"/>
      <c r="H35" s="65"/>
      <c r="I35" s="65"/>
      <c r="J35" s="66"/>
    </row>
    <row r="36" spans="1:11" ht="46.5" customHeight="1" x14ac:dyDescent="0.25">
      <c r="A36" s="40" t="s">
        <v>32</v>
      </c>
      <c r="B36" s="107"/>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30.75" customHeight="1" x14ac:dyDescent="0.25">
      <c r="A40" s="61" t="s">
        <v>41</v>
      </c>
      <c r="B40" s="61"/>
      <c r="C40" s="61"/>
      <c r="D40" s="61"/>
      <c r="E40" s="61"/>
      <c r="F40" s="61"/>
      <c r="G40" s="61"/>
      <c r="H40" s="61"/>
      <c r="I40" s="61"/>
      <c r="J40"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19" zoomScaleNormal="100" zoomScaleSheetLayoutView="100" workbookViewId="0">
      <selection activeCell="D29" sqref="D2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6"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41" customFormat="1" x14ac:dyDescent="0.25">
      <c r="A25" s="109">
        <v>200000</v>
      </c>
      <c r="B25" s="110"/>
      <c r="C25" s="111">
        <v>200000</v>
      </c>
      <c r="D25" s="112"/>
      <c r="E25" s="113"/>
      <c r="F25" s="111">
        <v>124810</v>
      </c>
      <c r="G25" s="112"/>
      <c r="H25" s="113"/>
      <c r="I25" s="114">
        <f>F25/C25</f>
        <v>0.62404999999999999</v>
      </c>
      <c r="J25" s="115"/>
      <c r="K25" s="35"/>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96" x14ac:dyDescent="0.25">
      <c r="A29" s="13" t="s">
        <v>115</v>
      </c>
      <c r="B29" s="14" t="s">
        <v>102</v>
      </c>
      <c r="C29" s="34">
        <v>15</v>
      </c>
      <c r="D29" s="15">
        <v>200000</v>
      </c>
      <c r="E29" s="15">
        <v>4</v>
      </c>
      <c r="F29" s="15">
        <v>50000</v>
      </c>
      <c r="G29" s="16">
        <v>3</v>
      </c>
      <c r="H29" s="15">
        <v>63237.5</v>
      </c>
      <c r="I29" s="17">
        <f>+Tabla134591011121314151617[[#This Row],[Física 
(E)]]/Tabla134591011121314151617[[#This Row],[Física
(C)]]</f>
        <v>0.75</v>
      </c>
      <c r="J29" s="18">
        <f>+Tabla134591011121314151617[[#This Row],[Financiera 
 (F)]]/Tabla134591011121314151617[[#This Row],[Financiera
(D)]]</f>
        <v>1.26475</v>
      </c>
      <c r="L29" s="36"/>
    </row>
    <row r="30" spans="1:12" x14ac:dyDescent="0.25">
      <c r="A30" s="19"/>
      <c r="B30" s="20"/>
      <c r="C30" s="21"/>
      <c r="D30" s="22"/>
      <c r="E30" s="22"/>
      <c r="F30" s="22"/>
      <c r="G30" s="23"/>
      <c r="H30" s="22"/>
      <c r="I30" s="17" t="e">
        <f>+Tabla134591011121314151617[[#This Row],[Física 
(E)]]/Tabla134591011121314151617[[#This Row],[Física
(C)]]</f>
        <v>#DIV/0!</v>
      </c>
      <c r="J30" s="18" t="e">
        <f>+Tabla134591011121314151617[[#This Row],[Financiera 
 (F)]]/Tabla134591011121314151617[[#This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88</v>
      </c>
      <c r="C33" s="65"/>
      <c r="D33" s="65"/>
      <c r="E33" s="65"/>
      <c r="F33" s="65"/>
      <c r="G33" s="65"/>
      <c r="H33" s="65"/>
      <c r="I33" s="65"/>
      <c r="J33" s="66"/>
    </row>
    <row r="34" spans="1:11" ht="30" x14ac:dyDescent="0.25">
      <c r="A34" s="24" t="s">
        <v>30</v>
      </c>
      <c r="B34" s="65" t="s">
        <v>89</v>
      </c>
      <c r="C34" s="65"/>
      <c r="D34" s="65"/>
      <c r="E34" s="65"/>
      <c r="F34" s="65"/>
      <c r="G34" s="65"/>
      <c r="H34" s="65"/>
      <c r="I34" s="65"/>
      <c r="J34" s="66"/>
    </row>
    <row r="35" spans="1:11" ht="58.5" customHeight="1" x14ac:dyDescent="0.25">
      <c r="A35" s="24" t="s">
        <v>31</v>
      </c>
      <c r="B35" s="65" t="s">
        <v>136</v>
      </c>
      <c r="C35" s="65"/>
      <c r="D35" s="65"/>
      <c r="E35" s="65"/>
      <c r="F35" s="65"/>
      <c r="G35" s="65"/>
      <c r="H35" s="65"/>
      <c r="I35" s="65"/>
      <c r="J35" s="66"/>
    </row>
    <row r="36" spans="1:11" ht="46.5" customHeight="1" x14ac:dyDescent="0.25">
      <c r="A36" s="40" t="s">
        <v>32</v>
      </c>
      <c r="B36" s="107" t="s">
        <v>137</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30.75" customHeight="1" x14ac:dyDescent="0.25">
      <c r="A40" s="61" t="s">
        <v>41</v>
      </c>
      <c r="B40" s="61"/>
      <c r="C40" s="61"/>
      <c r="D40" s="61"/>
      <c r="E40" s="61"/>
      <c r="F40" s="61"/>
      <c r="G40" s="61"/>
      <c r="H40" s="61"/>
      <c r="I40" s="61"/>
      <c r="J40"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19" zoomScaleNormal="100" zoomScaleSheetLayoutView="100" workbookViewId="0">
      <selection activeCell="C29" sqref="C2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27.7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41" customFormat="1" x14ac:dyDescent="0.25">
      <c r="A25" s="109">
        <v>200000</v>
      </c>
      <c r="B25" s="110"/>
      <c r="C25" s="111">
        <v>200000</v>
      </c>
      <c r="D25" s="112"/>
      <c r="E25" s="113"/>
      <c r="F25" s="111">
        <v>0</v>
      </c>
      <c r="G25" s="112"/>
      <c r="H25" s="113"/>
      <c r="I25" s="114">
        <f>F25/C25</f>
        <v>0</v>
      </c>
      <c r="J25" s="115"/>
      <c r="K25" s="35"/>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84" x14ac:dyDescent="0.25">
      <c r="A29" s="13" t="s">
        <v>116</v>
      </c>
      <c r="B29" s="14" t="s">
        <v>91</v>
      </c>
      <c r="C29" s="34">
        <v>5</v>
      </c>
      <c r="D29" s="15">
        <v>200000</v>
      </c>
      <c r="E29" s="15">
        <v>1</v>
      </c>
      <c r="F29" s="15">
        <v>50000</v>
      </c>
      <c r="G29" s="16">
        <v>2</v>
      </c>
      <c r="H29" s="15">
        <v>0</v>
      </c>
      <c r="I29" s="17">
        <f>+Tabla13459101112131415161718[[#This Row],[Física 
(E)]]/Tabla13459101112131415161718[[#This Row],[Física
(C)]]</f>
        <v>2</v>
      </c>
      <c r="J29" s="18">
        <f>+Tabla13459101112131415161718[[#This Row],[Financiera 
 (F)]]/Tabla13459101112131415161718[[#This Row],[Financiera
(D)]]</f>
        <v>0</v>
      </c>
      <c r="L29" s="36"/>
    </row>
    <row r="30" spans="1:12" x14ac:dyDescent="0.25">
      <c r="A30" s="19"/>
      <c r="B30" s="20"/>
      <c r="C30" s="21"/>
      <c r="D30" s="22"/>
      <c r="E30" s="22"/>
      <c r="F30" s="22"/>
      <c r="G30" s="23"/>
      <c r="H30" s="22"/>
      <c r="I30" s="17" t="e">
        <f>+Tabla13459101112131415161718[[#This Row],[Física 
(E)]]/Tabla13459101112131415161718[[#This Row],[Física
(C)]]</f>
        <v>#DIV/0!</v>
      </c>
      <c r="J30" s="18" t="e">
        <f>+Tabla13459101112131415161718[[#This Row],[Financiera 
 (F)]]/Tabla13459101112131415161718[[#This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88</v>
      </c>
      <c r="C33" s="65"/>
      <c r="D33" s="65"/>
      <c r="E33" s="65"/>
      <c r="F33" s="65"/>
      <c r="G33" s="65"/>
      <c r="H33" s="65"/>
      <c r="I33" s="65"/>
      <c r="J33" s="66"/>
    </row>
    <row r="34" spans="1:11" ht="30" x14ac:dyDescent="0.25">
      <c r="A34" s="24" t="s">
        <v>30</v>
      </c>
      <c r="B34" s="65" t="s">
        <v>90</v>
      </c>
      <c r="C34" s="65"/>
      <c r="D34" s="65"/>
      <c r="E34" s="65"/>
      <c r="F34" s="65"/>
      <c r="G34" s="65"/>
      <c r="H34" s="65"/>
      <c r="I34" s="65"/>
      <c r="J34" s="66"/>
    </row>
    <row r="35" spans="1:11" ht="85.5" customHeight="1" x14ac:dyDescent="0.25">
      <c r="A35" s="24" t="s">
        <v>31</v>
      </c>
      <c r="B35" s="65" t="s">
        <v>138</v>
      </c>
      <c r="C35" s="65"/>
      <c r="D35" s="65"/>
      <c r="E35" s="65"/>
      <c r="F35" s="65"/>
      <c r="G35" s="65"/>
      <c r="H35" s="65"/>
      <c r="I35" s="65"/>
      <c r="J35" s="66"/>
    </row>
    <row r="36" spans="1:11" ht="46.5" customHeight="1" x14ac:dyDescent="0.25">
      <c r="A36" s="40" t="s">
        <v>32</v>
      </c>
      <c r="B36" s="107" t="s">
        <v>139</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119"/>
      <c r="C26" s="119"/>
      <c r="D26" s="119"/>
    </row>
    <row r="27" spans="2:4" x14ac:dyDescent="0.25">
      <c r="B27" s="120" t="s">
        <v>106</v>
      </c>
      <c r="C27" s="120"/>
      <c r="D27" s="120"/>
    </row>
    <row r="28" spans="2:4" ht="37.5" customHeight="1" x14ac:dyDescent="0.25">
      <c r="B28" s="121" t="s">
        <v>104</v>
      </c>
      <c r="C28" s="121"/>
      <c r="D28" s="121"/>
    </row>
  </sheetData>
  <mergeCells count="3">
    <mergeCell ref="B26:D26"/>
    <mergeCell ref="B27:D27"/>
    <mergeCell ref="B28:D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zoomScale="110" zoomScaleNormal="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31.5" customHeight="1" x14ac:dyDescent="0.25">
      <c r="A11" s="4" t="s">
        <v>7</v>
      </c>
      <c r="B11" s="83" t="s">
        <v>59</v>
      </c>
      <c r="C11" s="83"/>
      <c r="D11" s="83"/>
      <c r="E11" s="83"/>
      <c r="F11" s="83"/>
      <c r="G11" s="83"/>
      <c r="H11" s="83"/>
      <c r="I11" s="83"/>
      <c r="J11" s="83"/>
    </row>
    <row r="12" spans="1:11" ht="41.25" customHeight="1" x14ac:dyDescent="0.25">
      <c r="A12" s="4" t="s">
        <v>8</v>
      </c>
      <c r="B12" s="83" t="s">
        <v>50</v>
      </c>
      <c r="C12" s="83"/>
      <c r="D12" s="83"/>
      <c r="E12" s="83"/>
      <c r="F12" s="83"/>
      <c r="G12" s="83"/>
      <c r="H12" s="83"/>
      <c r="I12" s="83"/>
      <c r="J12" s="83"/>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2.2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1" ht="15.75" x14ac:dyDescent="0.25">
      <c r="A17" s="67" t="s">
        <v>13</v>
      </c>
      <c r="B17" s="68"/>
      <c r="C17" s="68"/>
      <c r="D17" s="68"/>
      <c r="E17" s="68"/>
      <c r="F17" s="68"/>
      <c r="G17" s="68"/>
      <c r="H17" s="68"/>
      <c r="I17" s="68"/>
      <c r="J17" s="69"/>
    </row>
    <row r="18" spans="1:11" ht="29.25" customHeight="1" x14ac:dyDescent="0.25">
      <c r="A18" s="4" t="s">
        <v>14</v>
      </c>
      <c r="B18" s="65" t="s">
        <v>95</v>
      </c>
      <c r="C18" s="65"/>
      <c r="D18" s="65"/>
      <c r="E18" s="65"/>
      <c r="F18" s="65"/>
      <c r="G18" s="65"/>
      <c r="H18" s="65"/>
      <c r="I18" s="65"/>
      <c r="J18" s="66"/>
    </row>
    <row r="19" spans="1:11" ht="73.5" customHeight="1" x14ac:dyDescent="0.25">
      <c r="A19" s="9" t="s">
        <v>15</v>
      </c>
      <c r="B19" s="65" t="s">
        <v>58</v>
      </c>
      <c r="C19" s="65"/>
      <c r="D19" s="65"/>
      <c r="E19" s="65"/>
      <c r="F19" s="65"/>
      <c r="G19" s="65"/>
      <c r="H19" s="65"/>
      <c r="I19" s="65"/>
      <c r="J19" s="66"/>
    </row>
    <row r="20" spans="1:11" ht="34.5" customHeight="1" x14ac:dyDescent="0.25">
      <c r="A20" s="9" t="s">
        <v>16</v>
      </c>
      <c r="B20" s="65" t="s">
        <v>64</v>
      </c>
      <c r="C20" s="65"/>
      <c r="D20" s="65"/>
      <c r="E20" s="65"/>
      <c r="F20" s="65"/>
      <c r="G20" s="65"/>
      <c r="H20" s="65"/>
      <c r="I20" s="65"/>
      <c r="J20" s="66"/>
    </row>
    <row r="21" spans="1:11" ht="35.25" customHeight="1" x14ac:dyDescent="0.25">
      <c r="A21" s="9" t="s">
        <v>37</v>
      </c>
      <c r="B21" s="65"/>
      <c r="C21" s="65"/>
      <c r="D21" s="65"/>
      <c r="E21" s="65"/>
      <c r="F21" s="65"/>
      <c r="G21" s="65"/>
      <c r="H21" s="65"/>
      <c r="I21" s="65"/>
      <c r="J21" s="66"/>
      <c r="K21" s="1"/>
    </row>
    <row r="22" spans="1:11" ht="15.75" x14ac:dyDescent="0.25">
      <c r="A22" s="67" t="s">
        <v>17</v>
      </c>
      <c r="B22" s="68"/>
      <c r="C22" s="68"/>
      <c r="D22" s="68"/>
      <c r="E22" s="68"/>
      <c r="F22" s="68"/>
      <c r="G22" s="68"/>
      <c r="H22" s="68"/>
      <c r="I22" s="68"/>
      <c r="J22" s="69"/>
    </row>
    <row r="23" spans="1:11" ht="15.75" x14ac:dyDescent="0.25">
      <c r="A23" s="62" t="s">
        <v>18</v>
      </c>
      <c r="B23" s="63"/>
      <c r="C23" s="63"/>
      <c r="D23" s="63"/>
      <c r="E23" s="63"/>
      <c r="F23" s="63"/>
      <c r="G23" s="63"/>
      <c r="H23" s="63"/>
      <c r="I23" s="63"/>
      <c r="J23" s="64"/>
      <c r="K23" s="1"/>
    </row>
    <row r="24" spans="1:11" ht="15" customHeight="1" x14ac:dyDescent="0.25">
      <c r="A24" s="70" t="s">
        <v>19</v>
      </c>
      <c r="B24" s="71"/>
      <c r="C24" s="72" t="s">
        <v>20</v>
      </c>
      <c r="D24" s="73"/>
      <c r="E24" s="73"/>
      <c r="F24" s="73" t="s">
        <v>21</v>
      </c>
      <c r="G24" s="73"/>
      <c r="H24" s="71"/>
      <c r="I24" s="72" t="s">
        <v>22</v>
      </c>
      <c r="J24" s="74"/>
    </row>
    <row r="25" spans="1:11" s="38" customFormat="1" x14ac:dyDescent="0.25">
      <c r="A25" s="105">
        <v>17500000</v>
      </c>
      <c r="B25" s="106"/>
      <c r="C25" s="75">
        <v>17500000</v>
      </c>
      <c r="D25" s="76"/>
      <c r="E25" s="77"/>
      <c r="F25" s="75">
        <v>110956.6</v>
      </c>
      <c r="G25" s="76"/>
      <c r="H25" s="77"/>
      <c r="I25" s="78">
        <f>+F25/C25</f>
        <v>6.3403771428571431E-3</v>
      </c>
      <c r="J25" s="79"/>
      <c r="K25" s="37"/>
    </row>
    <row r="26" spans="1:11" ht="15.75" x14ac:dyDescent="0.25">
      <c r="A26" s="62" t="s">
        <v>23</v>
      </c>
      <c r="B26" s="63"/>
      <c r="C26" s="63"/>
      <c r="D26" s="63"/>
      <c r="E26" s="63"/>
      <c r="F26" s="63"/>
      <c r="G26" s="63"/>
      <c r="H26" s="63"/>
      <c r="I26" s="63"/>
      <c r="J26" s="64"/>
      <c r="K26" s="1"/>
    </row>
    <row r="27" spans="1:11" ht="15" customHeight="1" x14ac:dyDescent="0.25">
      <c r="A27" s="5"/>
      <c r="B27"/>
      <c r="C27" s="80" t="s">
        <v>48</v>
      </c>
      <c r="D27" s="81"/>
      <c r="E27" s="80" t="s">
        <v>108</v>
      </c>
      <c r="F27" s="81"/>
      <c r="G27" s="80" t="s">
        <v>109</v>
      </c>
      <c r="H27" s="80"/>
      <c r="I27" s="80" t="s">
        <v>24</v>
      </c>
      <c r="J27" s="82"/>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110</v>
      </c>
      <c r="B29" s="14" t="s">
        <v>93</v>
      </c>
      <c r="C29" s="33">
        <v>20000</v>
      </c>
      <c r="D29" s="15">
        <v>17500000</v>
      </c>
      <c r="E29" s="15">
        <v>5000</v>
      </c>
      <c r="F29" s="15">
        <v>5000000</v>
      </c>
      <c r="G29" s="16">
        <v>492</v>
      </c>
      <c r="H29" s="15">
        <v>93705</v>
      </c>
      <c r="I29" s="17">
        <f>+Tabla176[[#This Row],[Física 
(E)]]/Tabla176[[#This Row],[Física
(C)]]</f>
        <v>9.8400000000000001E-2</v>
      </c>
      <c r="J29" s="18">
        <f>Tabla176[[#This Row],[Financiera 
 (F)]]/Tabla176[[#This Row],[Financiera
(D)]]</f>
        <v>1.8741000000000001E-2</v>
      </c>
    </row>
    <row r="30" spans="1:11" x14ac:dyDescent="0.25">
      <c r="A30" s="19"/>
      <c r="B30" s="20"/>
      <c r="C30" s="21"/>
      <c r="D30" s="22"/>
      <c r="E30" s="22"/>
      <c r="F30" s="22"/>
      <c r="G30" s="23"/>
      <c r="H30" s="22"/>
      <c r="I30" s="17" t="e">
        <f>+Tabla176[[#This Row],[Física 
(E)]]/Tabla176[[#This Row],[Física
(C)]]</f>
        <v>#DIV/0!</v>
      </c>
      <c r="J30" s="18" t="e">
        <f>Tabla176[[#This Row],[Financiera 
 (F)]]/Tabla176[[#This Row],[Financiera
(D)]]</f>
        <v>#DIV/0!</v>
      </c>
    </row>
    <row r="31" spans="1:11" ht="15.75" x14ac:dyDescent="0.25">
      <c r="A31" s="67" t="s">
        <v>27</v>
      </c>
      <c r="B31" s="68"/>
      <c r="C31" s="68"/>
      <c r="D31" s="68"/>
      <c r="E31" s="68"/>
      <c r="F31" s="68"/>
      <c r="G31" s="68"/>
      <c r="H31" s="68"/>
      <c r="I31" s="68"/>
      <c r="J31" s="69"/>
    </row>
    <row r="32" spans="1:11" ht="15.75" x14ac:dyDescent="0.25">
      <c r="A32" s="62" t="s">
        <v>28</v>
      </c>
      <c r="B32" s="63"/>
      <c r="C32" s="63"/>
      <c r="D32" s="63"/>
      <c r="E32" s="63"/>
      <c r="F32" s="63"/>
      <c r="G32" s="63"/>
      <c r="H32" s="63"/>
      <c r="I32" s="63"/>
      <c r="J32" s="64"/>
      <c r="K32" s="1"/>
    </row>
    <row r="33" spans="1:11" x14ac:dyDescent="0.25">
      <c r="A33" s="24" t="s">
        <v>29</v>
      </c>
      <c r="B33" s="65" t="s">
        <v>66</v>
      </c>
      <c r="C33" s="65"/>
      <c r="D33" s="65"/>
      <c r="E33" s="65"/>
      <c r="F33" s="65"/>
      <c r="G33" s="65"/>
      <c r="H33" s="65"/>
      <c r="I33" s="65"/>
      <c r="J33" s="66"/>
    </row>
    <row r="34" spans="1:11" ht="30" x14ac:dyDescent="0.25">
      <c r="A34" s="24" t="s">
        <v>30</v>
      </c>
      <c r="B34" s="65" t="s">
        <v>65</v>
      </c>
      <c r="C34" s="65"/>
      <c r="D34" s="65"/>
      <c r="E34" s="65"/>
      <c r="F34" s="65"/>
      <c r="G34" s="65"/>
      <c r="H34" s="65"/>
      <c r="I34" s="65"/>
      <c r="J34" s="66"/>
    </row>
    <row r="35" spans="1:11" ht="80.25" customHeight="1" x14ac:dyDescent="0.25">
      <c r="A35" s="24" t="s">
        <v>31</v>
      </c>
      <c r="B35" s="65" t="s">
        <v>121</v>
      </c>
      <c r="C35" s="65"/>
      <c r="D35" s="65"/>
      <c r="E35" s="65"/>
      <c r="F35" s="65"/>
      <c r="G35" s="65"/>
      <c r="H35" s="65"/>
      <c r="I35" s="65"/>
      <c r="J35" s="66"/>
    </row>
    <row r="36" spans="1:11" ht="62.25" customHeight="1" x14ac:dyDescent="0.25">
      <c r="A36" s="40" t="s">
        <v>32</v>
      </c>
      <c r="B36" s="65" t="s">
        <v>122</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t="s">
        <v>40</v>
      </c>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opLeftCell="A35" zoomScale="110" zoomScaleNormal="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31.5" customHeight="1" x14ac:dyDescent="0.25">
      <c r="A11" s="4" t="s">
        <v>7</v>
      </c>
      <c r="B11" s="83" t="s">
        <v>59</v>
      </c>
      <c r="C11" s="83"/>
      <c r="D11" s="83"/>
      <c r="E11" s="83"/>
      <c r="F11" s="83"/>
      <c r="G11" s="83"/>
      <c r="H11" s="83"/>
      <c r="I11" s="83"/>
      <c r="J11" s="83"/>
    </row>
    <row r="12" spans="1:11" ht="41.25" customHeight="1" x14ac:dyDescent="0.25">
      <c r="A12" s="4" t="s">
        <v>8</v>
      </c>
      <c r="B12" s="83" t="s">
        <v>50</v>
      </c>
      <c r="C12" s="83"/>
      <c r="D12" s="83"/>
      <c r="E12" s="83"/>
      <c r="F12" s="83"/>
      <c r="G12" s="83"/>
      <c r="H12" s="83"/>
      <c r="I12" s="83"/>
      <c r="J12" s="83"/>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5.2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1" ht="15.75" x14ac:dyDescent="0.25">
      <c r="A17" s="67" t="s">
        <v>13</v>
      </c>
      <c r="B17" s="68"/>
      <c r="C17" s="68"/>
      <c r="D17" s="68"/>
      <c r="E17" s="68"/>
      <c r="F17" s="68"/>
      <c r="G17" s="68"/>
      <c r="H17" s="68"/>
      <c r="I17" s="68"/>
      <c r="J17" s="69"/>
    </row>
    <row r="18" spans="1:11" ht="29.25" customHeight="1" x14ac:dyDescent="0.25">
      <c r="A18" s="4" t="s">
        <v>14</v>
      </c>
      <c r="B18" s="65" t="s">
        <v>95</v>
      </c>
      <c r="C18" s="65"/>
      <c r="D18" s="65"/>
      <c r="E18" s="65"/>
      <c r="F18" s="65"/>
      <c r="G18" s="65"/>
      <c r="H18" s="65"/>
      <c r="I18" s="65"/>
      <c r="J18" s="66"/>
    </row>
    <row r="19" spans="1:11" ht="73.5" customHeight="1" x14ac:dyDescent="0.25">
      <c r="A19" s="9" t="s">
        <v>15</v>
      </c>
      <c r="B19" s="65" t="s">
        <v>58</v>
      </c>
      <c r="C19" s="65"/>
      <c r="D19" s="65"/>
      <c r="E19" s="65"/>
      <c r="F19" s="65"/>
      <c r="G19" s="65"/>
      <c r="H19" s="65"/>
      <c r="I19" s="65"/>
      <c r="J19" s="66"/>
    </row>
    <row r="20" spans="1:11" ht="34.5" customHeight="1" x14ac:dyDescent="0.25">
      <c r="A20" s="9" t="s">
        <v>16</v>
      </c>
      <c r="B20" s="65" t="s">
        <v>64</v>
      </c>
      <c r="C20" s="65"/>
      <c r="D20" s="65"/>
      <c r="E20" s="65"/>
      <c r="F20" s="65"/>
      <c r="G20" s="65"/>
      <c r="H20" s="65"/>
      <c r="I20" s="65"/>
      <c r="J20" s="66"/>
    </row>
    <row r="21" spans="1:11" ht="35.25" customHeight="1" x14ac:dyDescent="0.25">
      <c r="A21" s="9" t="s">
        <v>37</v>
      </c>
      <c r="B21" s="65"/>
      <c r="C21" s="65"/>
      <c r="D21" s="65"/>
      <c r="E21" s="65"/>
      <c r="F21" s="65"/>
      <c r="G21" s="65"/>
      <c r="H21" s="65"/>
      <c r="I21" s="65"/>
      <c r="J21" s="66"/>
      <c r="K21" s="1"/>
    </row>
    <row r="22" spans="1:11" ht="15.75" x14ac:dyDescent="0.25">
      <c r="A22" s="67" t="s">
        <v>17</v>
      </c>
      <c r="B22" s="68"/>
      <c r="C22" s="68"/>
      <c r="D22" s="68"/>
      <c r="E22" s="68"/>
      <c r="F22" s="68"/>
      <c r="G22" s="68"/>
      <c r="H22" s="68"/>
      <c r="I22" s="68"/>
      <c r="J22" s="69"/>
    </row>
    <row r="23" spans="1:11" ht="15.75" x14ac:dyDescent="0.25">
      <c r="A23" s="62" t="s">
        <v>18</v>
      </c>
      <c r="B23" s="63"/>
      <c r="C23" s="63"/>
      <c r="D23" s="63"/>
      <c r="E23" s="63"/>
      <c r="F23" s="63"/>
      <c r="G23" s="63"/>
      <c r="H23" s="63"/>
      <c r="I23" s="63"/>
      <c r="J23" s="64"/>
      <c r="K23" s="1"/>
    </row>
    <row r="24" spans="1:11" ht="15" customHeight="1" x14ac:dyDescent="0.25">
      <c r="A24" s="70" t="s">
        <v>19</v>
      </c>
      <c r="B24" s="71"/>
      <c r="C24" s="72" t="s">
        <v>20</v>
      </c>
      <c r="D24" s="73"/>
      <c r="E24" s="73"/>
      <c r="F24" s="73" t="s">
        <v>21</v>
      </c>
      <c r="G24" s="73"/>
      <c r="H24" s="71"/>
      <c r="I24" s="72" t="s">
        <v>22</v>
      </c>
      <c r="J24" s="74"/>
    </row>
    <row r="25" spans="1:11" s="38" customFormat="1" x14ac:dyDescent="0.25">
      <c r="A25" s="105">
        <v>500000</v>
      </c>
      <c r="B25" s="106"/>
      <c r="C25" s="75">
        <v>500000</v>
      </c>
      <c r="D25" s="76"/>
      <c r="E25" s="77"/>
      <c r="F25" s="75">
        <v>18097.5</v>
      </c>
      <c r="G25" s="76"/>
      <c r="H25" s="77"/>
      <c r="I25" s="78">
        <f>+F25/C25</f>
        <v>3.6194999999999998E-2</v>
      </c>
      <c r="J25" s="79"/>
      <c r="K25" s="37"/>
    </row>
    <row r="26" spans="1:11" ht="15.75" x14ac:dyDescent="0.25">
      <c r="A26" s="62" t="s">
        <v>23</v>
      </c>
      <c r="B26" s="63"/>
      <c r="C26" s="63"/>
      <c r="D26" s="63"/>
      <c r="E26" s="63"/>
      <c r="F26" s="63"/>
      <c r="G26" s="63"/>
      <c r="H26" s="63"/>
      <c r="I26" s="63"/>
      <c r="J26" s="64"/>
      <c r="K26" s="1"/>
    </row>
    <row r="27" spans="1:11" ht="15" customHeight="1" x14ac:dyDescent="0.25">
      <c r="A27" s="5"/>
      <c r="B27"/>
      <c r="C27" s="80" t="s">
        <v>48</v>
      </c>
      <c r="D27" s="81"/>
      <c r="E27" s="80" t="s">
        <v>108</v>
      </c>
      <c r="F27" s="81"/>
      <c r="G27" s="80" t="s">
        <v>109</v>
      </c>
      <c r="H27" s="80"/>
      <c r="I27" s="80" t="s">
        <v>24</v>
      </c>
      <c r="J27" s="82"/>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118</v>
      </c>
      <c r="B29" s="14" t="s">
        <v>61</v>
      </c>
      <c r="C29" s="33">
        <v>92472</v>
      </c>
      <c r="D29" s="15">
        <v>500000</v>
      </c>
      <c r="E29" s="15">
        <v>22099</v>
      </c>
      <c r="F29" s="15">
        <v>100000</v>
      </c>
      <c r="G29" s="16">
        <v>25246</v>
      </c>
      <c r="H29" s="23">
        <v>10200</v>
      </c>
      <c r="I29" s="17">
        <f>+Tabla18[[#This Row],[Física 
(E)]]/Tabla18[[#This Row],[Física
(C)]]</f>
        <v>1.1424046336938323</v>
      </c>
      <c r="J29" s="18">
        <f>+Tabla18[[#This Row],[Financiera 
 (F)]]/Tabla18[[#This Row],[Financiera
(D)]]</f>
        <v>0.10199999999999999</v>
      </c>
    </row>
    <row r="30" spans="1:11" x14ac:dyDescent="0.25">
      <c r="A30" s="19"/>
      <c r="B30" s="20"/>
      <c r="C30" s="21"/>
      <c r="D30" s="22"/>
      <c r="E30" s="22"/>
      <c r="F30" s="22"/>
      <c r="G30" s="54"/>
      <c r="H30" s="22"/>
      <c r="I30" s="17" t="e">
        <f>IF(H29&gt;0,H29/C30,0)</f>
        <v>#DIV/0!</v>
      </c>
      <c r="J30" s="18">
        <f>IF(H30&gt;0,H30/D30,0)</f>
        <v>0</v>
      </c>
    </row>
    <row r="31" spans="1:11" ht="15.75" x14ac:dyDescent="0.25">
      <c r="A31" s="67" t="s">
        <v>27</v>
      </c>
      <c r="B31" s="68"/>
      <c r="C31" s="68"/>
      <c r="D31" s="68"/>
      <c r="E31" s="68"/>
      <c r="F31" s="68"/>
      <c r="G31" s="68"/>
      <c r="H31" s="68"/>
      <c r="I31" s="68"/>
      <c r="J31" s="69"/>
    </row>
    <row r="32" spans="1:11" ht="15.75" x14ac:dyDescent="0.25">
      <c r="A32" s="62" t="s">
        <v>28</v>
      </c>
      <c r="B32" s="63"/>
      <c r="C32" s="63"/>
      <c r="D32" s="63"/>
      <c r="E32" s="63"/>
      <c r="F32" s="63"/>
      <c r="G32" s="63"/>
      <c r="H32" s="63"/>
      <c r="I32" s="63"/>
      <c r="J32" s="64"/>
      <c r="K32" s="1"/>
    </row>
    <row r="33" spans="1:11" x14ac:dyDescent="0.25">
      <c r="A33" s="24" t="s">
        <v>29</v>
      </c>
      <c r="B33" s="65" t="s">
        <v>67</v>
      </c>
      <c r="C33" s="65"/>
      <c r="D33" s="65"/>
      <c r="E33" s="65"/>
      <c r="F33" s="65"/>
      <c r="G33" s="65"/>
      <c r="H33" s="65"/>
      <c r="I33" s="65"/>
      <c r="J33" s="66"/>
    </row>
    <row r="34" spans="1:11" ht="30" x14ac:dyDescent="0.25">
      <c r="A34" s="24" t="s">
        <v>30</v>
      </c>
      <c r="B34" s="65" t="s">
        <v>68</v>
      </c>
      <c r="C34" s="65"/>
      <c r="D34" s="65"/>
      <c r="E34" s="65"/>
      <c r="F34" s="65"/>
      <c r="G34" s="65"/>
      <c r="H34" s="65"/>
      <c r="I34" s="65"/>
      <c r="J34" s="66"/>
    </row>
    <row r="35" spans="1:11" ht="80.25" customHeight="1" x14ac:dyDescent="0.25">
      <c r="A35" s="24" t="s">
        <v>31</v>
      </c>
      <c r="B35" s="65" t="s">
        <v>124</v>
      </c>
      <c r="C35" s="65"/>
      <c r="D35" s="65"/>
      <c r="E35" s="65"/>
      <c r="F35" s="65"/>
      <c r="G35" s="65"/>
      <c r="H35" s="65"/>
      <c r="I35" s="65"/>
      <c r="J35" s="66"/>
    </row>
    <row r="36" spans="1:11" ht="62.25" customHeight="1" x14ac:dyDescent="0.25">
      <c r="A36" s="24" t="s">
        <v>32</v>
      </c>
      <c r="B36" s="65" t="s">
        <v>123</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t="s">
        <v>40</v>
      </c>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onto ejecutado en el trimestre" sqref="H28:H30"/>
    <dataValidation allowBlank="1" showInputMessage="1" showErrorMessage="1" prompt="Meta alcanzada en el trimestre" sqref="G28:G29 H29"/>
  </dataValidations>
  <pageMargins left="0.7" right="0.7" top="0.75" bottom="0.75" header="0.3" footer="0.3"/>
  <pageSetup scale="65"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30" zoomScale="110" zoomScaleNormal="100" zoomScaleSheetLayoutView="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0.7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2000000</v>
      </c>
      <c r="B25" s="110"/>
      <c r="C25" s="111">
        <v>2000000</v>
      </c>
      <c r="D25" s="112"/>
      <c r="E25" s="113"/>
      <c r="F25" s="111">
        <v>14445</v>
      </c>
      <c r="G25" s="112"/>
      <c r="H25" s="113"/>
      <c r="I25" s="114">
        <f>F25/C25</f>
        <v>7.2224999999999998E-3</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60" x14ac:dyDescent="0.25">
      <c r="A29" s="13" t="s">
        <v>111</v>
      </c>
      <c r="B29" s="14" t="s">
        <v>80</v>
      </c>
      <c r="C29" s="34">
        <v>6000</v>
      </c>
      <c r="D29" s="15">
        <v>2000000</v>
      </c>
      <c r="E29" s="15">
        <v>1500</v>
      </c>
      <c r="F29" s="15">
        <v>500000</v>
      </c>
      <c r="G29" s="16">
        <v>935</v>
      </c>
      <c r="H29" s="15">
        <v>5145</v>
      </c>
      <c r="I29" s="17">
        <f>+Tabla134591011121314[[#This Row],[Física 
(E)]]/Tabla134591011121314[[#This Row],[Física
(C)]]</f>
        <v>0.62333333333333329</v>
      </c>
      <c r="J29" s="18">
        <f>+Tabla134591011121314[[#This Row],[Financiera 
 (F)]]/Tabla134591011121314[[#This Row],[Financiera
(D)]]</f>
        <v>1.0290000000000001E-2</v>
      </c>
      <c r="L29" s="36"/>
    </row>
    <row r="30" spans="1:12" x14ac:dyDescent="0.25">
      <c r="A30" s="19"/>
      <c r="B30" s="20"/>
      <c r="C30" s="21"/>
      <c r="D30" s="22"/>
      <c r="E30" s="22"/>
      <c r="F30" s="22"/>
      <c r="G30" s="23"/>
      <c r="H30" s="22"/>
      <c r="I30" s="17" t="e">
        <f>+Tabla134591011121314[[#This Row],[Física 
(E)]]/Tabla134591011121314[[#This Row],[Física
(C)]]</f>
        <v>#DIV/0!</v>
      </c>
      <c r="J30" s="18" t="e">
        <f>+Tabla134591011121314[[#This Row],[Financiera 
 (F)]]/Tabla134591011121314[[#This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79</v>
      </c>
      <c r="C33" s="65"/>
      <c r="D33" s="65"/>
      <c r="E33" s="65"/>
      <c r="F33" s="65"/>
      <c r="G33" s="65"/>
      <c r="H33" s="65"/>
      <c r="I33" s="65"/>
      <c r="J33" s="66"/>
    </row>
    <row r="34" spans="1:11" ht="30" x14ac:dyDescent="0.25">
      <c r="A34" s="24" t="s">
        <v>30</v>
      </c>
      <c r="B34" s="65" t="s">
        <v>81</v>
      </c>
      <c r="C34" s="65"/>
      <c r="D34" s="65"/>
      <c r="E34" s="65"/>
      <c r="F34" s="65"/>
      <c r="G34" s="65"/>
      <c r="H34" s="65"/>
      <c r="I34" s="65"/>
      <c r="J34" s="66"/>
    </row>
    <row r="35" spans="1:11" ht="85.5" customHeight="1" x14ac:dyDescent="0.25">
      <c r="A35" s="24" t="s">
        <v>31</v>
      </c>
      <c r="B35" s="65" t="s">
        <v>125</v>
      </c>
      <c r="C35" s="65"/>
      <c r="D35" s="65"/>
      <c r="E35" s="65"/>
      <c r="F35" s="65"/>
      <c r="G35" s="65"/>
      <c r="H35" s="65"/>
      <c r="I35" s="65"/>
      <c r="J35" s="66"/>
    </row>
    <row r="36" spans="1:11" ht="43.5" customHeight="1" x14ac:dyDescent="0.25">
      <c r="A36" s="40" t="s">
        <v>32</v>
      </c>
      <c r="B36" s="107" t="s">
        <v>126</v>
      </c>
      <c r="C36" s="107"/>
      <c r="D36" s="107"/>
      <c r="E36" s="107"/>
      <c r="F36" s="107"/>
      <c r="G36" s="107"/>
      <c r="H36" s="107"/>
      <c r="I36" s="107"/>
      <c r="J36" s="108"/>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41"/>
  <sheetViews>
    <sheetView view="pageBreakPreview" topLeftCell="A21" zoomScale="115" zoomScaleNormal="100" zoomScaleSheetLayoutView="115" workbookViewId="0">
      <selection activeCell="B36" sqref="B36:J36"/>
    </sheetView>
  </sheetViews>
  <sheetFormatPr baseColWidth="10" defaultColWidth="11.42578125" defaultRowHeight="15" x14ac:dyDescent="0.25"/>
  <cols>
    <col min="1" max="1" width="23" style="6" customWidth="1"/>
    <col min="2" max="3" width="12.7109375" style="6" customWidth="1"/>
    <col min="4" max="4" width="14.42578125" style="6" customWidth="1"/>
    <col min="5"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27.7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3" ht="15.75" x14ac:dyDescent="0.25">
      <c r="A17" s="67" t="s">
        <v>13</v>
      </c>
      <c r="B17" s="68"/>
      <c r="C17" s="68"/>
      <c r="D17" s="68"/>
      <c r="E17" s="68"/>
      <c r="F17" s="68"/>
      <c r="G17" s="68"/>
      <c r="H17" s="68"/>
      <c r="I17" s="68"/>
      <c r="J17" s="69"/>
    </row>
    <row r="18" spans="1:13" ht="29.25" customHeight="1" x14ac:dyDescent="0.25">
      <c r="A18" s="4" t="s">
        <v>14</v>
      </c>
      <c r="B18" s="65" t="s">
        <v>94</v>
      </c>
      <c r="C18" s="65"/>
      <c r="D18" s="65"/>
      <c r="E18" s="65"/>
      <c r="F18" s="65"/>
      <c r="G18" s="65"/>
      <c r="H18" s="65"/>
      <c r="I18" s="65"/>
      <c r="J18" s="66"/>
    </row>
    <row r="19" spans="1:13" ht="76.5" customHeight="1" x14ac:dyDescent="0.25">
      <c r="A19" s="9" t="s">
        <v>15</v>
      </c>
      <c r="B19" s="65" t="s">
        <v>105</v>
      </c>
      <c r="C19" s="65"/>
      <c r="D19" s="65"/>
      <c r="E19" s="65"/>
      <c r="F19" s="65"/>
      <c r="G19" s="65"/>
      <c r="H19" s="65"/>
      <c r="I19" s="65"/>
      <c r="J19" s="66"/>
    </row>
    <row r="20" spans="1:13" ht="34.5" customHeight="1" x14ac:dyDescent="0.25">
      <c r="A20" s="9" t="s">
        <v>16</v>
      </c>
      <c r="B20" s="65" t="s">
        <v>92</v>
      </c>
      <c r="C20" s="65"/>
      <c r="D20" s="65"/>
      <c r="E20" s="65"/>
      <c r="F20" s="65"/>
      <c r="G20" s="65"/>
      <c r="H20" s="65"/>
      <c r="I20" s="65"/>
      <c r="J20" s="66"/>
    </row>
    <row r="21" spans="1:13" ht="35.25" customHeight="1" x14ac:dyDescent="0.25">
      <c r="A21" s="9" t="s">
        <v>37</v>
      </c>
      <c r="B21" s="118" t="s">
        <v>56</v>
      </c>
      <c r="C21" s="65"/>
      <c r="D21" s="65"/>
      <c r="E21" s="65"/>
      <c r="F21" s="65"/>
      <c r="G21" s="65"/>
      <c r="H21" s="65"/>
      <c r="I21" s="65"/>
      <c r="J21" s="66"/>
      <c r="K21" s="1"/>
    </row>
    <row r="22" spans="1:13" ht="15.75" x14ac:dyDescent="0.25">
      <c r="A22" s="67" t="s">
        <v>17</v>
      </c>
      <c r="B22" s="68"/>
      <c r="C22" s="68"/>
      <c r="D22" s="68"/>
      <c r="E22" s="68"/>
      <c r="F22" s="68"/>
      <c r="G22" s="68"/>
      <c r="H22" s="68"/>
      <c r="I22" s="68"/>
      <c r="J22" s="69"/>
    </row>
    <row r="23" spans="1:13" ht="15.75" x14ac:dyDescent="0.25">
      <c r="A23" s="62" t="s">
        <v>18</v>
      </c>
      <c r="B23" s="63"/>
      <c r="C23" s="63"/>
      <c r="D23" s="63"/>
      <c r="E23" s="63"/>
      <c r="F23" s="63"/>
      <c r="G23" s="63"/>
      <c r="H23" s="63"/>
      <c r="I23" s="63"/>
      <c r="J23" s="64"/>
      <c r="K23" s="1"/>
    </row>
    <row r="24" spans="1:13" ht="15" customHeight="1" x14ac:dyDescent="0.25">
      <c r="A24" s="70" t="s">
        <v>19</v>
      </c>
      <c r="B24" s="71"/>
      <c r="C24" s="72" t="s">
        <v>20</v>
      </c>
      <c r="D24" s="73"/>
      <c r="E24" s="73"/>
      <c r="F24" s="73" t="s">
        <v>21</v>
      </c>
      <c r="G24" s="73"/>
      <c r="H24" s="71"/>
      <c r="I24" s="72" t="s">
        <v>22</v>
      </c>
      <c r="J24" s="74"/>
    </row>
    <row r="25" spans="1:13" x14ac:dyDescent="0.25">
      <c r="A25" s="109">
        <v>1313605000</v>
      </c>
      <c r="B25" s="110"/>
      <c r="C25" s="111">
        <v>1174869560.8499999</v>
      </c>
      <c r="D25" s="112"/>
      <c r="E25" s="113"/>
      <c r="F25" s="111">
        <v>742960932.59000003</v>
      </c>
      <c r="G25" s="112"/>
      <c r="H25" s="113"/>
      <c r="I25" s="114">
        <f>F25/C25</f>
        <v>0.63237737817675632</v>
      </c>
      <c r="J25" s="115"/>
      <c r="K25" s="35"/>
    </row>
    <row r="26" spans="1:13" ht="15.75" x14ac:dyDescent="0.25">
      <c r="A26" s="62" t="s">
        <v>23</v>
      </c>
      <c r="B26" s="63"/>
      <c r="C26" s="63"/>
      <c r="D26" s="63"/>
      <c r="E26" s="63"/>
      <c r="F26" s="63"/>
      <c r="G26" s="63"/>
      <c r="H26" s="63"/>
      <c r="I26" s="63"/>
      <c r="J26" s="64"/>
      <c r="K26" s="1"/>
    </row>
    <row r="27" spans="1:13" ht="15" customHeight="1" x14ac:dyDescent="0.25">
      <c r="A27" s="5"/>
      <c r="B27"/>
      <c r="C27" s="80" t="s">
        <v>48</v>
      </c>
      <c r="D27" s="81"/>
      <c r="E27" s="80" t="s">
        <v>108</v>
      </c>
      <c r="F27" s="81"/>
      <c r="G27" s="80" t="s">
        <v>109</v>
      </c>
      <c r="H27" s="80"/>
      <c r="I27" s="80" t="s">
        <v>24</v>
      </c>
      <c r="J27" s="82"/>
    </row>
    <row r="28" spans="1:13" ht="38.25" x14ac:dyDescent="0.25">
      <c r="A28" s="10" t="s">
        <v>25</v>
      </c>
      <c r="B28" s="11" t="s">
        <v>26</v>
      </c>
      <c r="C28" s="11" t="s">
        <v>38</v>
      </c>
      <c r="D28" s="11" t="s">
        <v>39</v>
      </c>
      <c r="E28" s="11" t="s">
        <v>42</v>
      </c>
      <c r="F28" s="11" t="s">
        <v>43</v>
      </c>
      <c r="G28" s="11" t="s">
        <v>44</v>
      </c>
      <c r="H28" s="11" t="s">
        <v>45</v>
      </c>
      <c r="I28" s="11" t="s">
        <v>46</v>
      </c>
      <c r="J28" s="12" t="s">
        <v>47</v>
      </c>
      <c r="M28" s="41"/>
    </row>
    <row r="29" spans="1:13" ht="48" x14ac:dyDescent="0.25">
      <c r="A29" s="13" t="s">
        <v>119</v>
      </c>
      <c r="B29" s="14" t="s">
        <v>55</v>
      </c>
      <c r="C29" s="34">
        <v>600000</v>
      </c>
      <c r="D29" s="15">
        <v>1313000000</v>
      </c>
      <c r="E29" s="15">
        <v>150000</v>
      </c>
      <c r="F29" s="15">
        <v>350000000</v>
      </c>
      <c r="G29" s="16">
        <v>187256</v>
      </c>
      <c r="H29" s="15">
        <v>708879994.05999994</v>
      </c>
      <c r="I29" s="17">
        <f>+Tabla1345[[#This Row],[Física 
(E)]]/Tabla1345[[#This Row],[Física
(C)]]</f>
        <v>1.2483733333333333</v>
      </c>
      <c r="J29" s="18">
        <f>+Tabla1345[[#This Row],[Financiera 
 (F)]]/Tabla1345[[#This Row],[Financiera
(D)]]</f>
        <v>2.0253714115999997</v>
      </c>
      <c r="L29" s="36"/>
    </row>
    <row r="30" spans="1:13" x14ac:dyDescent="0.25">
      <c r="A30" s="19"/>
      <c r="B30" s="20"/>
      <c r="C30" s="21"/>
      <c r="D30" s="22"/>
      <c r="E30" s="22"/>
      <c r="F30" s="22"/>
      <c r="G30" s="23"/>
      <c r="H30" s="22"/>
      <c r="I30" s="17" t="e">
        <f>+Tabla1345[[#This Row],[Física 
(E)]]/Tabla1345[[#This Row],[Física
(C)]]</f>
        <v>#DIV/0!</v>
      </c>
      <c r="J30" s="18" t="e">
        <f>+Tabla1345[[#This Row],[Financiera 
 (F)]]/Tabla1345[[#This Row],[Financiera
(D)]]</f>
        <v>#DIV/0!</v>
      </c>
    </row>
    <row r="31" spans="1:13" ht="15.75" x14ac:dyDescent="0.25">
      <c r="A31" s="67" t="s">
        <v>27</v>
      </c>
      <c r="B31" s="68"/>
      <c r="C31" s="68"/>
      <c r="D31" s="68"/>
      <c r="E31" s="68"/>
      <c r="F31" s="68"/>
      <c r="G31" s="68"/>
      <c r="H31" s="68"/>
      <c r="I31" s="68"/>
      <c r="J31" s="69"/>
    </row>
    <row r="32" spans="1:13" ht="15.75" x14ac:dyDescent="0.25">
      <c r="A32" s="62" t="s">
        <v>28</v>
      </c>
      <c r="B32" s="63"/>
      <c r="C32" s="63"/>
      <c r="D32" s="63"/>
      <c r="E32" s="63"/>
      <c r="F32" s="63"/>
      <c r="G32" s="63"/>
      <c r="H32" s="63"/>
      <c r="I32" s="63"/>
      <c r="J32" s="64"/>
      <c r="K32" s="1"/>
    </row>
    <row r="33" spans="1:11" x14ac:dyDescent="0.25">
      <c r="A33" s="24" t="s">
        <v>29</v>
      </c>
      <c r="B33" s="65" t="s">
        <v>52</v>
      </c>
      <c r="C33" s="65"/>
      <c r="D33" s="65"/>
      <c r="E33" s="65"/>
      <c r="F33" s="65"/>
      <c r="G33" s="65"/>
      <c r="H33" s="65"/>
      <c r="I33" s="65"/>
      <c r="J33" s="66"/>
    </row>
    <row r="34" spans="1:11" ht="30" x14ac:dyDescent="0.25">
      <c r="A34" s="24" t="s">
        <v>30</v>
      </c>
      <c r="B34" s="65" t="s">
        <v>53</v>
      </c>
      <c r="C34" s="65"/>
      <c r="D34" s="65"/>
      <c r="E34" s="65"/>
      <c r="F34" s="65"/>
      <c r="G34" s="65"/>
      <c r="H34" s="65"/>
      <c r="I34" s="65"/>
      <c r="J34" s="66"/>
    </row>
    <row r="35" spans="1:11" ht="85.5" customHeight="1" x14ac:dyDescent="0.25">
      <c r="A35" s="24" t="s">
        <v>31</v>
      </c>
      <c r="B35" s="65" t="s">
        <v>128</v>
      </c>
      <c r="C35" s="65"/>
      <c r="D35" s="65"/>
      <c r="E35" s="65"/>
      <c r="F35" s="65"/>
      <c r="G35" s="65"/>
      <c r="H35" s="65"/>
      <c r="I35" s="65"/>
      <c r="J35" s="66"/>
    </row>
    <row r="36" spans="1:11" ht="51" customHeight="1" x14ac:dyDescent="0.25">
      <c r="A36" s="24" t="s">
        <v>32</v>
      </c>
      <c r="B36" s="65" t="s">
        <v>127</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4"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34" zoomScale="120" zoomScaleNormal="100" zoomScaleSheetLayoutView="120" workbookViewId="0">
      <selection activeCell="C44" sqref="C44"/>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28.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1000000</v>
      </c>
      <c r="B25" s="110"/>
      <c r="C25" s="111">
        <v>1000000</v>
      </c>
      <c r="D25" s="112"/>
      <c r="E25" s="113"/>
      <c r="F25" s="111">
        <v>479850</v>
      </c>
      <c r="G25" s="112"/>
      <c r="H25" s="113"/>
      <c r="I25" s="114">
        <f>F25/C25</f>
        <v>0.47985</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120</v>
      </c>
      <c r="B29" s="14" t="s">
        <v>69</v>
      </c>
      <c r="C29" s="34">
        <v>15000</v>
      </c>
      <c r="D29" s="15">
        <v>1000000</v>
      </c>
      <c r="E29" s="15">
        <v>5000</v>
      </c>
      <c r="F29" s="15">
        <v>250000</v>
      </c>
      <c r="G29" s="16">
        <v>1506</v>
      </c>
      <c r="H29" s="15">
        <v>401362.5</v>
      </c>
      <c r="I29" s="17">
        <f>+Tabla13459[[#This Row],[Física 
(E)]]/Tabla13459[[#This Row],[Física
(C)]]</f>
        <v>0.30120000000000002</v>
      </c>
      <c r="J29" s="18">
        <f>+Tabla13459[[#This Row],[Financiera 
 (F)]]/Tabla13459[[#This Row],[Financiera
(D)]]</f>
        <v>1.60545</v>
      </c>
      <c r="L29" s="36"/>
    </row>
    <row r="30" spans="1:12" x14ac:dyDescent="0.25">
      <c r="A30" s="19"/>
      <c r="B30" s="20"/>
      <c r="C30" s="21"/>
      <c r="D30" s="22"/>
      <c r="E30" s="22"/>
      <c r="F30" s="22"/>
      <c r="G30" s="23"/>
      <c r="H30" s="22"/>
      <c r="I30" s="17" t="e">
        <f>+Tabla13459[[#This Row],[Física 
(E)]]/Tabla13459[[#This Row],[Física
(C)]]</f>
        <v>#DIV/0!</v>
      </c>
      <c r="J30" s="18" t="e">
        <f>+Tabla13459[[#This Row],[Financiera 
 (F)]]/Tabla13459[[#This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96</v>
      </c>
      <c r="C33" s="65"/>
      <c r="D33" s="65"/>
      <c r="E33" s="65"/>
      <c r="F33" s="65"/>
      <c r="G33" s="65"/>
      <c r="H33" s="65"/>
      <c r="I33" s="65"/>
      <c r="J33" s="66"/>
    </row>
    <row r="34" spans="1:11" ht="30" x14ac:dyDescent="0.25">
      <c r="A34" s="24" t="s">
        <v>30</v>
      </c>
      <c r="B34" s="65" t="s">
        <v>97</v>
      </c>
      <c r="C34" s="65"/>
      <c r="D34" s="65"/>
      <c r="E34" s="65"/>
      <c r="F34" s="65"/>
      <c r="G34" s="65"/>
      <c r="H34" s="65"/>
      <c r="I34" s="65"/>
      <c r="J34" s="66"/>
    </row>
    <row r="35" spans="1:11" s="44" customFormat="1" ht="58.5" customHeight="1" x14ac:dyDescent="0.25">
      <c r="A35" s="42" t="s">
        <v>31</v>
      </c>
      <c r="B35" s="116" t="s">
        <v>141</v>
      </c>
      <c r="C35" s="116"/>
      <c r="D35" s="116"/>
      <c r="E35" s="116"/>
      <c r="F35" s="116"/>
      <c r="G35" s="116"/>
      <c r="H35" s="116"/>
      <c r="I35" s="116"/>
      <c r="J35" s="117"/>
      <c r="K35" s="43"/>
    </row>
    <row r="36" spans="1:11" ht="30" x14ac:dyDescent="0.25">
      <c r="A36" s="40" t="s">
        <v>32</v>
      </c>
      <c r="B36" s="65" t="s">
        <v>129</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zoomScaleNormal="100" zoomScaleSheetLayoutView="100" workbookViewId="0">
      <selection activeCell="B35" sqref="B35:J3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1.5"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1000000</v>
      </c>
      <c r="B25" s="110"/>
      <c r="C25" s="111">
        <v>1000000</v>
      </c>
      <c r="D25" s="112"/>
      <c r="E25" s="113"/>
      <c r="F25" s="111">
        <v>30815</v>
      </c>
      <c r="G25" s="112"/>
      <c r="H25" s="113"/>
      <c r="I25" s="114">
        <f>F25/C25</f>
        <v>3.0814999999999999E-2</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130</v>
      </c>
      <c r="B29" s="14" t="s">
        <v>71</v>
      </c>
      <c r="C29" s="34">
        <v>1</v>
      </c>
      <c r="D29" s="15">
        <v>1000000</v>
      </c>
      <c r="E29" s="15">
        <v>0</v>
      </c>
      <c r="F29" s="15">
        <v>0</v>
      </c>
      <c r="G29" s="16">
        <v>0</v>
      </c>
      <c r="H29" s="15">
        <v>31760</v>
      </c>
      <c r="I29" s="17" t="e">
        <f>+Tabla1345910[[#This Row],[Física 
(E)]]/Tabla1345910[[#This Row],[Física
(C)]]</f>
        <v>#DIV/0!</v>
      </c>
      <c r="J29" s="18" t="e">
        <f>+Tabla1345910[[#This Row],[Financiera 
 (F)]]/Tabla1345910[[#This Row],[Financiera
(D)]]</f>
        <v>#DIV/0!</v>
      </c>
      <c r="L29" s="36"/>
    </row>
    <row r="30" spans="1:12" x14ac:dyDescent="0.25">
      <c r="A30" s="19"/>
      <c r="B30" s="20"/>
      <c r="C30" s="21"/>
      <c r="D30" s="22"/>
      <c r="E30" s="22"/>
      <c r="F30" s="22"/>
      <c r="G30" s="23"/>
      <c r="H30" s="22"/>
      <c r="I30" s="17" t="e">
        <f>+Tabla1345910[[#This Row],[Física 
(E)]]/Tabla1345910[[#This Row],[Física
(C)]]</f>
        <v>#DIV/0!</v>
      </c>
      <c r="J30" s="18" t="e">
        <f>+Tabla1345910[[#This Row],[Financiera 
 (F)]]/Tabla1345910[[#This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70</v>
      </c>
      <c r="C33" s="65"/>
      <c r="D33" s="65"/>
      <c r="E33" s="65"/>
      <c r="F33" s="65"/>
      <c r="G33" s="65"/>
      <c r="H33" s="65"/>
      <c r="I33" s="65"/>
      <c r="J33" s="66"/>
    </row>
    <row r="34" spans="1:11" ht="30" x14ac:dyDescent="0.25">
      <c r="A34" s="24" t="s">
        <v>30</v>
      </c>
      <c r="B34" s="65" t="s">
        <v>72</v>
      </c>
      <c r="C34" s="65"/>
      <c r="D34" s="65"/>
      <c r="E34" s="65"/>
      <c r="F34" s="65"/>
      <c r="G34" s="65"/>
      <c r="H34" s="65"/>
      <c r="I34" s="65"/>
      <c r="J34" s="66"/>
    </row>
    <row r="35" spans="1:11" ht="85.5" customHeight="1" x14ac:dyDescent="0.25">
      <c r="A35" s="24" t="s">
        <v>31</v>
      </c>
      <c r="B35" s="65" t="s">
        <v>98</v>
      </c>
      <c r="C35" s="65"/>
      <c r="D35" s="65"/>
      <c r="E35" s="65"/>
      <c r="F35" s="65"/>
      <c r="G35" s="65"/>
      <c r="H35" s="65"/>
      <c r="I35" s="65"/>
      <c r="J35" s="66"/>
    </row>
    <row r="36" spans="1:11" ht="30" x14ac:dyDescent="0.25">
      <c r="A36" s="40" t="s">
        <v>32</v>
      </c>
      <c r="B36" s="65"/>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19" zoomScaleNormal="100" zoomScaleSheetLayoutView="100" workbookViewId="0">
      <selection activeCell="B35" sqref="B35:J3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0"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600000</v>
      </c>
      <c r="B25" s="110"/>
      <c r="C25" s="111">
        <v>600000</v>
      </c>
      <c r="D25" s="112"/>
      <c r="E25" s="113"/>
      <c r="F25" s="111">
        <v>0</v>
      </c>
      <c r="G25" s="112"/>
      <c r="H25" s="113"/>
      <c r="I25" s="114">
        <f>F25/C25</f>
        <v>0</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36" x14ac:dyDescent="0.25">
      <c r="A29" s="13" t="s">
        <v>142</v>
      </c>
      <c r="B29" s="14" t="s">
        <v>74</v>
      </c>
      <c r="C29" s="34">
        <v>3</v>
      </c>
      <c r="D29" s="15">
        <v>600000</v>
      </c>
      <c r="E29" s="15">
        <v>1</v>
      </c>
      <c r="F29" s="15">
        <v>200000</v>
      </c>
      <c r="G29" s="16">
        <v>0</v>
      </c>
      <c r="H29" s="15">
        <v>0</v>
      </c>
      <c r="I29" s="17">
        <f>+Tabla134591011[[#This Row],[Física 
(E)]]/Tabla134591011[[#This Row],[Física
(C)]]</f>
        <v>0</v>
      </c>
      <c r="J29" s="18">
        <f>+Tabla134591011[[#This Row],[Financiera 
 (F)]]/Tabla134591011[[#This Row],[Financiera
(D)]]</f>
        <v>0</v>
      </c>
      <c r="L29" s="36"/>
    </row>
    <row r="30" spans="1:12" x14ac:dyDescent="0.25">
      <c r="A30" s="19"/>
      <c r="B30" s="20"/>
      <c r="C30" s="21"/>
      <c r="D30" s="22"/>
      <c r="E30" s="22"/>
      <c r="F30" s="22"/>
      <c r="G30" s="23"/>
      <c r="H30" s="22"/>
      <c r="I30" s="17" t="e">
        <f>+Tabla134591011[[#This Row],[Física 
(E)]]/Tabla134591011[[#This Row],[Física
(C)]]</f>
        <v>#DIV/0!</v>
      </c>
      <c r="J30" s="18" t="e">
        <f>+Tabla134591011[[#This Row],[Financiera 
 (F)]]/Tabla134591011[[#This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73</v>
      </c>
      <c r="C33" s="65"/>
      <c r="D33" s="65"/>
      <c r="E33" s="65"/>
      <c r="F33" s="65"/>
      <c r="G33" s="65"/>
      <c r="H33" s="65"/>
      <c r="I33" s="65"/>
      <c r="J33" s="66"/>
    </row>
    <row r="34" spans="1:11" ht="30" x14ac:dyDescent="0.25">
      <c r="A34" s="24" t="s">
        <v>30</v>
      </c>
      <c r="B34" s="65" t="s">
        <v>99</v>
      </c>
      <c r="C34" s="65"/>
      <c r="D34" s="65"/>
      <c r="E34" s="65"/>
      <c r="F34" s="65"/>
      <c r="G34" s="65"/>
      <c r="H34" s="65"/>
      <c r="I34" s="65"/>
      <c r="J34" s="66"/>
    </row>
    <row r="35" spans="1:11" ht="85.5" customHeight="1" x14ac:dyDescent="0.25">
      <c r="A35" s="24" t="s">
        <v>31</v>
      </c>
      <c r="B35" s="65"/>
      <c r="C35" s="65"/>
      <c r="D35" s="65"/>
      <c r="E35" s="65"/>
      <c r="F35" s="65"/>
      <c r="G35" s="65"/>
      <c r="H35" s="65"/>
      <c r="I35" s="65"/>
      <c r="J35" s="66"/>
    </row>
    <row r="36" spans="1:11" ht="30" x14ac:dyDescent="0.25">
      <c r="A36" s="40" t="s">
        <v>32</v>
      </c>
      <c r="B36" s="65"/>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topLeftCell="A19" zoomScaleNormal="100" zoomScaleSheetLayoutView="100" workbookViewId="0">
      <selection activeCell="B35" sqref="B35:J3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89" t="s">
        <v>49</v>
      </c>
      <c r="C1" s="90"/>
      <c r="D1" s="90"/>
      <c r="E1" s="90"/>
      <c r="F1" s="90"/>
      <c r="G1" s="90"/>
      <c r="H1" s="90"/>
      <c r="I1" s="90"/>
      <c r="J1" s="91"/>
      <c r="K1" s="1"/>
    </row>
    <row r="2" spans="1:11" ht="21.75" thickBot="1" x14ac:dyDescent="0.3">
      <c r="A2" s="26"/>
      <c r="B2" s="92" t="s">
        <v>0</v>
      </c>
      <c r="C2" s="93"/>
      <c r="D2" s="92" t="s">
        <v>1</v>
      </c>
      <c r="E2" s="93"/>
      <c r="F2" s="93"/>
      <c r="G2" s="93"/>
      <c r="H2" s="94"/>
      <c r="I2" s="2" t="s">
        <v>2</v>
      </c>
      <c r="J2" s="3" t="s">
        <v>3</v>
      </c>
      <c r="K2" s="1"/>
    </row>
    <row r="3" spans="1:11" ht="21.75" thickBot="1" x14ac:dyDescent="0.3">
      <c r="A3" s="27"/>
      <c r="B3" s="95" t="s">
        <v>4</v>
      </c>
      <c r="C3" s="96"/>
      <c r="D3" s="95"/>
      <c r="E3" s="96"/>
      <c r="F3" s="96"/>
      <c r="G3" s="96"/>
      <c r="H3" s="97"/>
      <c r="I3" s="31"/>
      <c r="J3" s="32"/>
      <c r="K3" s="1"/>
    </row>
    <row r="4" spans="1:11" x14ac:dyDescent="0.25">
      <c r="A4" s="98"/>
      <c r="B4" s="99"/>
      <c r="C4" s="99"/>
      <c r="D4" s="100"/>
      <c r="E4" s="100"/>
      <c r="F4" s="100"/>
      <c r="G4" s="100"/>
      <c r="H4" s="100"/>
      <c r="I4" s="99"/>
      <c r="J4" s="101"/>
      <c r="K4" s="1"/>
    </row>
    <row r="5" spans="1:11" ht="3" customHeight="1" x14ac:dyDescent="0.25">
      <c r="A5" s="102"/>
      <c r="B5" s="103"/>
      <c r="C5" s="103"/>
      <c r="D5" s="103"/>
      <c r="E5" s="103"/>
      <c r="F5" s="103"/>
      <c r="G5" s="103"/>
      <c r="H5" s="103"/>
      <c r="I5" s="103"/>
      <c r="J5" s="104"/>
      <c r="K5" s="1"/>
    </row>
    <row r="6" spans="1:11" ht="15.75" x14ac:dyDescent="0.25">
      <c r="A6" s="67" t="s">
        <v>54</v>
      </c>
      <c r="B6" s="68"/>
      <c r="C6" s="68"/>
      <c r="D6" s="68"/>
      <c r="E6" s="68"/>
      <c r="F6" s="68"/>
      <c r="G6" s="68"/>
      <c r="H6" s="68"/>
      <c r="I6" s="68"/>
      <c r="J6" s="69"/>
      <c r="K6" s="1"/>
    </row>
    <row r="7" spans="1:11" ht="15.75" x14ac:dyDescent="0.25">
      <c r="A7" s="62" t="s">
        <v>5</v>
      </c>
      <c r="B7" s="63"/>
      <c r="C7" s="63"/>
      <c r="D7" s="63"/>
      <c r="E7" s="63"/>
      <c r="F7" s="63"/>
      <c r="G7" s="63"/>
      <c r="H7" s="63"/>
      <c r="I7" s="63"/>
      <c r="J7" s="64"/>
      <c r="K7" s="1"/>
    </row>
    <row r="8" spans="1:11" x14ac:dyDescent="0.25">
      <c r="A8" s="4" t="s">
        <v>6</v>
      </c>
      <c r="B8" s="86" t="s">
        <v>57</v>
      </c>
      <c r="C8" s="87"/>
      <c r="D8" s="87"/>
      <c r="E8" s="87"/>
      <c r="F8" s="87"/>
      <c r="G8" s="87"/>
      <c r="H8" s="87"/>
      <c r="I8" s="87"/>
      <c r="J8" s="88"/>
      <c r="K8" s="1"/>
    </row>
    <row r="9" spans="1:11" ht="15" customHeight="1" x14ac:dyDescent="0.25">
      <c r="A9" s="28" t="s">
        <v>35</v>
      </c>
      <c r="B9" s="86" t="s">
        <v>51</v>
      </c>
      <c r="C9" s="87"/>
      <c r="D9" s="87"/>
      <c r="E9" s="87"/>
      <c r="F9" s="87"/>
      <c r="G9" s="87"/>
      <c r="H9" s="87"/>
      <c r="I9" s="87"/>
      <c r="J9" s="88"/>
      <c r="K9" s="1"/>
    </row>
    <row r="10" spans="1:11" x14ac:dyDescent="0.25">
      <c r="A10" s="28" t="s">
        <v>36</v>
      </c>
      <c r="B10" s="86" t="s">
        <v>51</v>
      </c>
      <c r="C10" s="87"/>
      <c r="D10" s="87"/>
      <c r="E10" s="87"/>
      <c r="F10" s="87"/>
      <c r="G10" s="87"/>
      <c r="H10" s="87"/>
      <c r="I10" s="87"/>
      <c r="J10" s="88"/>
      <c r="K10" s="1"/>
    </row>
    <row r="11" spans="1:11" ht="40.5" customHeight="1" x14ac:dyDescent="0.25">
      <c r="A11" s="4" t="s">
        <v>7</v>
      </c>
      <c r="B11" s="116" t="s">
        <v>60</v>
      </c>
      <c r="C11" s="116"/>
      <c r="D11" s="116"/>
      <c r="E11" s="116"/>
      <c r="F11" s="116"/>
      <c r="G11" s="116"/>
      <c r="H11" s="116"/>
      <c r="I11" s="116"/>
      <c r="J11" s="117"/>
    </row>
    <row r="12" spans="1:11" ht="35.25" customHeight="1" x14ac:dyDescent="0.25">
      <c r="A12" s="4" t="s">
        <v>8</v>
      </c>
      <c r="B12" s="116" t="s">
        <v>50</v>
      </c>
      <c r="C12" s="116"/>
      <c r="D12" s="116"/>
      <c r="E12" s="116"/>
      <c r="F12" s="116"/>
      <c r="G12" s="116"/>
      <c r="H12" s="116"/>
      <c r="I12" s="116"/>
      <c r="J12" s="117"/>
    </row>
    <row r="13" spans="1:11" ht="15.75" x14ac:dyDescent="0.25">
      <c r="A13" s="67" t="s">
        <v>9</v>
      </c>
      <c r="B13" s="68"/>
      <c r="C13" s="68"/>
      <c r="D13" s="68"/>
      <c r="E13" s="68"/>
      <c r="F13" s="68"/>
      <c r="G13" s="68"/>
      <c r="H13" s="68"/>
      <c r="I13" s="68"/>
      <c r="J13" s="69"/>
    </row>
    <row r="14" spans="1:11" ht="27.75" customHeight="1" x14ac:dyDescent="0.25">
      <c r="A14" s="4" t="s">
        <v>10</v>
      </c>
      <c r="B14" s="29">
        <f>_xlfn.NUMBERVALUE(LEFT($B$16,1))</f>
        <v>3</v>
      </c>
      <c r="C14" s="84" t="str">
        <f>IFERROR(VLOOKUP(B14,'[1]Validacion datos'!A2:B5,2,FALSE),"")</f>
        <v>DESARROLLO PRODUCTIVO</v>
      </c>
      <c r="D14" s="84"/>
      <c r="E14" s="84"/>
      <c r="F14" s="84"/>
      <c r="G14" s="84"/>
      <c r="H14" s="84"/>
      <c r="I14" s="84"/>
      <c r="J14" s="84"/>
    </row>
    <row r="15" spans="1:11" ht="26.25" customHeight="1" x14ac:dyDescent="0.25">
      <c r="A15" s="4" t="s">
        <v>11</v>
      </c>
      <c r="B15" s="7">
        <f>_xlfn.NUMBERVALUE(LEFT(B16,3))</f>
        <v>3.3</v>
      </c>
      <c r="C15" s="84" t="str">
        <f>IFERROR(VLOOKUP(B15,'[1]Validacion datos'!A8:B26,2,FALSE),"")</f>
        <v>Competitividad e innovavión en un ambiente favorable a la cooperación y la responsabilidad social</v>
      </c>
      <c r="D15" s="84"/>
      <c r="E15" s="84"/>
      <c r="F15" s="84"/>
      <c r="G15" s="84"/>
      <c r="H15" s="84"/>
      <c r="I15" s="84"/>
      <c r="J15" s="84"/>
    </row>
    <row r="16" spans="1:11" ht="30" customHeight="1" x14ac:dyDescent="0.25">
      <c r="A16" s="4" t="s">
        <v>12</v>
      </c>
      <c r="B16" s="8" t="s">
        <v>103</v>
      </c>
      <c r="C16" s="8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5"/>
      <c r="E16" s="85"/>
      <c r="F16" s="85"/>
      <c r="G16" s="85"/>
      <c r="H16" s="85"/>
      <c r="I16" s="85"/>
      <c r="J16" s="85"/>
    </row>
    <row r="17" spans="1:12" ht="15.75" x14ac:dyDescent="0.25">
      <c r="A17" s="67" t="s">
        <v>13</v>
      </c>
      <c r="B17" s="68"/>
      <c r="C17" s="68"/>
      <c r="D17" s="68"/>
      <c r="E17" s="68"/>
      <c r="F17" s="68"/>
      <c r="G17" s="68"/>
      <c r="H17" s="68"/>
      <c r="I17" s="68"/>
      <c r="J17" s="69"/>
    </row>
    <row r="18" spans="1:12" ht="29.25" customHeight="1" x14ac:dyDescent="0.25">
      <c r="A18" s="4" t="s">
        <v>14</v>
      </c>
      <c r="B18" s="65" t="s">
        <v>94</v>
      </c>
      <c r="C18" s="65"/>
      <c r="D18" s="65"/>
      <c r="E18" s="65"/>
      <c r="F18" s="65"/>
      <c r="G18" s="65"/>
      <c r="H18" s="65"/>
      <c r="I18" s="65"/>
      <c r="J18" s="66"/>
    </row>
    <row r="19" spans="1:12" ht="76.5" customHeight="1" x14ac:dyDescent="0.25">
      <c r="A19" s="9" t="s">
        <v>15</v>
      </c>
      <c r="B19" s="65" t="s">
        <v>105</v>
      </c>
      <c r="C19" s="65"/>
      <c r="D19" s="65"/>
      <c r="E19" s="65"/>
      <c r="F19" s="65"/>
      <c r="G19" s="65"/>
      <c r="H19" s="65"/>
      <c r="I19" s="65"/>
      <c r="J19" s="66"/>
    </row>
    <row r="20" spans="1:12" ht="34.5" customHeight="1" x14ac:dyDescent="0.25">
      <c r="A20" s="9" t="s">
        <v>16</v>
      </c>
      <c r="B20" s="65" t="s">
        <v>92</v>
      </c>
      <c r="C20" s="65"/>
      <c r="D20" s="65"/>
      <c r="E20" s="65"/>
      <c r="F20" s="65"/>
      <c r="G20" s="65"/>
      <c r="H20" s="65"/>
      <c r="I20" s="65"/>
      <c r="J20" s="66"/>
    </row>
    <row r="21" spans="1:12" ht="35.25" customHeight="1" x14ac:dyDescent="0.25">
      <c r="A21" s="9" t="s">
        <v>37</v>
      </c>
      <c r="B21" s="118" t="s">
        <v>56</v>
      </c>
      <c r="C21" s="65"/>
      <c r="D21" s="65"/>
      <c r="E21" s="65"/>
      <c r="F21" s="65"/>
      <c r="G21" s="65"/>
      <c r="H21" s="65"/>
      <c r="I21" s="65"/>
      <c r="J21" s="66"/>
      <c r="K21" s="1"/>
    </row>
    <row r="22" spans="1:12" ht="15.75" x14ac:dyDescent="0.25">
      <c r="A22" s="67" t="s">
        <v>17</v>
      </c>
      <c r="B22" s="68"/>
      <c r="C22" s="68"/>
      <c r="D22" s="68"/>
      <c r="E22" s="68"/>
      <c r="F22" s="68"/>
      <c r="G22" s="68"/>
      <c r="H22" s="68"/>
      <c r="I22" s="68"/>
      <c r="J22" s="69"/>
    </row>
    <row r="23" spans="1:12" ht="15.75" x14ac:dyDescent="0.25">
      <c r="A23" s="62" t="s">
        <v>18</v>
      </c>
      <c r="B23" s="63"/>
      <c r="C23" s="63"/>
      <c r="D23" s="63"/>
      <c r="E23" s="63"/>
      <c r="F23" s="63"/>
      <c r="G23" s="63"/>
      <c r="H23" s="63"/>
      <c r="I23" s="63"/>
      <c r="J23" s="64"/>
      <c r="K23" s="1"/>
    </row>
    <row r="24" spans="1:12" ht="15" customHeight="1" x14ac:dyDescent="0.25">
      <c r="A24" s="70" t="s">
        <v>19</v>
      </c>
      <c r="B24" s="71"/>
      <c r="C24" s="72" t="s">
        <v>20</v>
      </c>
      <c r="D24" s="73"/>
      <c r="E24" s="73"/>
      <c r="F24" s="73" t="s">
        <v>21</v>
      </c>
      <c r="G24" s="73"/>
      <c r="H24" s="71"/>
      <c r="I24" s="72" t="s">
        <v>22</v>
      </c>
      <c r="J24" s="74"/>
    </row>
    <row r="25" spans="1:12" s="38" customFormat="1" x14ac:dyDescent="0.25">
      <c r="A25" s="109">
        <v>500000</v>
      </c>
      <c r="B25" s="110"/>
      <c r="C25" s="111">
        <v>500000</v>
      </c>
      <c r="D25" s="112"/>
      <c r="E25" s="113"/>
      <c r="F25" s="111">
        <v>177840</v>
      </c>
      <c r="G25" s="112"/>
      <c r="H25" s="113"/>
      <c r="I25" s="114">
        <f>F25/C25</f>
        <v>0.35568</v>
      </c>
      <c r="J25" s="115"/>
      <c r="K25" s="39"/>
    </row>
    <row r="26" spans="1:12" ht="15.75" x14ac:dyDescent="0.25">
      <c r="A26" s="62" t="s">
        <v>23</v>
      </c>
      <c r="B26" s="63"/>
      <c r="C26" s="63"/>
      <c r="D26" s="63"/>
      <c r="E26" s="63"/>
      <c r="F26" s="63"/>
      <c r="G26" s="63"/>
      <c r="H26" s="63"/>
      <c r="I26" s="63"/>
      <c r="J26" s="64"/>
      <c r="K26" s="1"/>
    </row>
    <row r="27" spans="1:12" ht="15" customHeight="1" x14ac:dyDescent="0.25">
      <c r="A27" s="5"/>
      <c r="B27"/>
      <c r="C27" s="80" t="s">
        <v>48</v>
      </c>
      <c r="D27" s="81"/>
      <c r="E27" s="80" t="s">
        <v>108</v>
      </c>
      <c r="F27" s="81"/>
      <c r="G27" s="80" t="s">
        <v>109</v>
      </c>
      <c r="H27" s="80"/>
      <c r="I27" s="80" t="s">
        <v>24</v>
      </c>
      <c r="J27" s="82"/>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112</v>
      </c>
      <c r="B29" s="14" t="s">
        <v>75</v>
      </c>
      <c r="C29" s="34">
        <v>6000</v>
      </c>
      <c r="D29" s="15">
        <v>500000</v>
      </c>
      <c r="E29" s="15">
        <v>1500</v>
      </c>
      <c r="F29" s="15">
        <v>100000</v>
      </c>
      <c r="G29" s="16">
        <v>3090</v>
      </c>
      <c r="H29" s="15">
        <v>151787.5</v>
      </c>
      <c r="I29" s="17">
        <f>+Tabla13459101112[[#This Row],[Física 
(E)]]/Tabla13459101112[[#This Row],[Física
(C)]]</f>
        <v>2.06</v>
      </c>
      <c r="J29" s="18">
        <f>+Tabla13459101112[[#This Row],[Financiera 
 (F)]]/Tabla13459101112[[#This Row],[Financiera
(D)]]</f>
        <v>1.5178750000000001</v>
      </c>
      <c r="L29" s="36"/>
    </row>
    <row r="30" spans="1:12" x14ac:dyDescent="0.25">
      <c r="A30" s="19"/>
      <c r="B30" s="20"/>
      <c r="C30" s="21"/>
      <c r="D30" s="22"/>
      <c r="E30" s="22"/>
      <c r="F30" s="22"/>
      <c r="G30" s="23"/>
      <c r="H30" s="22"/>
      <c r="I30" s="17" t="e">
        <f>+Tabla13459101112[[#This Row],[Física 
(E)]]/Tabla13459101112[[#This Row],[Física
(C)]]</f>
        <v>#DIV/0!</v>
      </c>
      <c r="J30" s="18" t="e">
        <f>+Tabla13459101112[[#This Row],[Financiera 
 (F)]]/Tabla13459101112[[#This Row],[Financiera
(D)]]</f>
        <v>#DIV/0!</v>
      </c>
    </row>
    <row r="31" spans="1:12" ht="15.75" x14ac:dyDescent="0.25">
      <c r="A31" s="67" t="s">
        <v>27</v>
      </c>
      <c r="B31" s="68"/>
      <c r="C31" s="68"/>
      <c r="D31" s="68"/>
      <c r="E31" s="68"/>
      <c r="F31" s="68"/>
      <c r="G31" s="68"/>
      <c r="H31" s="68"/>
      <c r="I31" s="68"/>
      <c r="J31" s="69"/>
    </row>
    <row r="32" spans="1:12" ht="15.75" x14ac:dyDescent="0.25">
      <c r="A32" s="62" t="s">
        <v>28</v>
      </c>
      <c r="B32" s="63"/>
      <c r="C32" s="63"/>
      <c r="D32" s="63"/>
      <c r="E32" s="63"/>
      <c r="F32" s="63"/>
      <c r="G32" s="63"/>
      <c r="H32" s="63"/>
      <c r="I32" s="63"/>
      <c r="J32" s="64"/>
      <c r="K32" s="1"/>
    </row>
    <row r="33" spans="1:11" x14ac:dyDescent="0.25">
      <c r="A33" s="24" t="s">
        <v>29</v>
      </c>
      <c r="B33" s="65" t="s">
        <v>100</v>
      </c>
      <c r="C33" s="65"/>
      <c r="D33" s="65"/>
      <c r="E33" s="65"/>
      <c r="F33" s="65"/>
      <c r="G33" s="65"/>
      <c r="H33" s="65"/>
      <c r="I33" s="65"/>
      <c r="J33" s="66"/>
    </row>
    <row r="34" spans="1:11" ht="30" x14ac:dyDescent="0.25">
      <c r="A34" s="24" t="s">
        <v>30</v>
      </c>
      <c r="B34" s="65" t="s">
        <v>76</v>
      </c>
      <c r="C34" s="65"/>
      <c r="D34" s="65"/>
      <c r="E34" s="65"/>
      <c r="F34" s="65"/>
      <c r="G34" s="65"/>
      <c r="H34" s="65"/>
      <c r="I34" s="65"/>
      <c r="J34" s="66"/>
    </row>
    <row r="35" spans="1:11" ht="85.5" customHeight="1" x14ac:dyDescent="0.25">
      <c r="A35" s="24" t="s">
        <v>31</v>
      </c>
      <c r="B35" s="65" t="s">
        <v>143</v>
      </c>
      <c r="C35" s="65"/>
      <c r="D35" s="65"/>
      <c r="E35" s="65"/>
      <c r="F35" s="65"/>
      <c r="G35" s="65"/>
      <c r="H35" s="65"/>
      <c r="I35" s="65"/>
      <c r="J35" s="66"/>
    </row>
    <row r="36" spans="1:11" ht="30" x14ac:dyDescent="0.25">
      <c r="A36" s="40" t="s">
        <v>32</v>
      </c>
      <c r="B36" s="65" t="s">
        <v>144</v>
      </c>
      <c r="C36" s="65"/>
      <c r="D36" s="65"/>
      <c r="E36" s="65"/>
      <c r="F36" s="65"/>
      <c r="G36" s="65"/>
      <c r="H36" s="65"/>
      <c r="I36" s="65"/>
      <c r="J36" s="66"/>
    </row>
    <row r="37" spans="1:11" ht="15.75" x14ac:dyDescent="0.25">
      <c r="A37" s="67" t="s">
        <v>33</v>
      </c>
      <c r="B37" s="68"/>
      <c r="C37" s="68"/>
      <c r="D37" s="68"/>
      <c r="E37" s="68"/>
      <c r="F37" s="68"/>
      <c r="G37" s="68"/>
      <c r="H37" s="68"/>
      <c r="I37" s="68"/>
      <c r="J37" s="69"/>
    </row>
    <row r="38" spans="1:11" ht="15.75" x14ac:dyDescent="0.25">
      <c r="A38" s="55" t="s">
        <v>34</v>
      </c>
      <c r="B38" s="56"/>
      <c r="C38" s="56"/>
      <c r="D38" s="56"/>
      <c r="E38" s="56"/>
      <c r="F38" s="56"/>
      <c r="G38" s="56"/>
      <c r="H38" s="56"/>
      <c r="I38" s="56"/>
      <c r="J38" s="57"/>
      <c r="K38" s="1"/>
    </row>
    <row r="39" spans="1:11" ht="27.75" customHeight="1" x14ac:dyDescent="0.25">
      <c r="A39" s="58"/>
      <c r="B39" s="59"/>
      <c r="C39" s="59"/>
      <c r="D39" s="59"/>
      <c r="E39" s="59"/>
      <c r="F39" s="59"/>
      <c r="G39" s="59"/>
      <c r="H39" s="59"/>
      <c r="I39" s="59"/>
      <c r="J39" s="60"/>
    </row>
    <row r="40" spans="1:11" ht="27.75" customHeight="1" x14ac:dyDescent="0.25">
      <c r="A40" s="30"/>
      <c r="B40" s="30"/>
      <c r="C40" s="30"/>
      <c r="D40" s="30"/>
      <c r="E40" s="30"/>
      <c r="F40" s="30"/>
      <c r="G40" s="30"/>
      <c r="H40" s="30"/>
      <c r="I40" s="30"/>
      <c r="J40" s="30"/>
    </row>
    <row r="41" spans="1:11" ht="30.75" customHeight="1" x14ac:dyDescent="0.25">
      <c r="A41" s="61" t="s">
        <v>41</v>
      </c>
      <c r="B41" s="61"/>
      <c r="C41" s="61"/>
      <c r="D41" s="61"/>
      <c r="E41" s="61"/>
      <c r="F41" s="61"/>
      <c r="G41" s="61"/>
      <c r="H41" s="61"/>
      <c r="I41" s="61"/>
      <c r="J41" s="61"/>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Transporte de pasajeros</vt:lpstr>
      <vt:lpstr>Rótulos</vt:lpstr>
      <vt:lpstr>Permisos de Tran carga (2)</vt:lpstr>
      <vt:lpstr>MotoTaxi . Educacion Vial</vt:lpstr>
      <vt:lpstr>Ciu. Licencia de conducir</vt:lpstr>
      <vt:lpstr>ITV</vt:lpstr>
      <vt:lpstr>Campaña Educativa</vt:lpstr>
      <vt:lpstr>Eventos Seg. Vial</vt:lpstr>
      <vt:lpstr>CPU. Educacion Vial</vt:lpstr>
      <vt:lpstr>PCT. Educacion Vial</vt:lpstr>
      <vt:lpstr>Diseño de Corredores</vt:lpstr>
      <vt:lpstr>Corredores Integrados</vt:lpstr>
      <vt:lpstr>Alcandia Asistencia Tec.</vt:lpstr>
      <vt:lpstr>Alcandia planes movilidad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2022-06-13T17:15:18Z</cp:lastPrinted>
  <dcterms:created xsi:type="dcterms:W3CDTF">2021-03-22T15:50:10Z</dcterms:created>
  <dcterms:modified xsi:type="dcterms:W3CDTF">2025-03-13T14:33:29Z</dcterms:modified>
</cp:coreProperties>
</file>